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8_{586F8783-5524-424F-ADEC-E1611FA8C5F8}" xr6:coauthVersionLast="36" xr6:coauthVersionMax="36" xr10:uidLastSave="{00000000-0000-0000-0000-000000000000}"/>
  <bookViews>
    <workbookView xWindow="-110" yWindow="-110" windowWidth="19430" windowHeight="10430" activeTab="2" xr2:uid="{00000000-000D-0000-FFFF-FFFF00000000}"/>
  </bookViews>
  <sheets>
    <sheet name="Tr &amp; P" sheetId="1" r:id="rId1"/>
    <sheet name="Pn_Simulator" sheetId="2" r:id="rId2"/>
    <sheet name="Pn_24 h_Simulation" sheetId="3" r:id="rId3"/>
  </sheets>
  <definedNames>
    <definedName name="ACH">#REF!</definedName>
    <definedName name="Area_culture">#REF!</definedName>
    <definedName name="CN">#REF!</definedName>
    <definedName name="CO2in">#REF!</definedName>
    <definedName name="CO2in_mg">#REF!</definedName>
    <definedName name="CO2in_ppm">#REF!</definedName>
    <definedName name="CO2out">#REF!</definedName>
    <definedName name="CO2out_mg">#REF!</definedName>
    <definedName name="CO2out_ppm">#REF!</definedName>
    <definedName name="CS">#REF!</definedName>
    <definedName name="CV">#REF!</definedName>
    <definedName name="DarkResp">#REF!</definedName>
    <definedName name="DeH">#REF!</definedName>
    <definedName name="DeHumidification">#REF!</definedName>
    <definedName name="DeHumification">#REF!</definedName>
    <definedName name="Densityin">#REF!</definedName>
    <definedName name="Densityout">#REF!</definedName>
    <definedName name="Enth_in">#REF!</definedName>
    <definedName name="Enth_out">#REF!</definedName>
    <definedName name="Fvalue">#REF!</definedName>
    <definedName name="Gc">#REF!</definedName>
    <definedName name="GI">#REF!</definedName>
    <definedName name="GTI">#REF!</definedName>
    <definedName name="Height">#REF!</definedName>
    <definedName name="Humidify">#REF!</definedName>
    <definedName name="Kw">#REF!</definedName>
    <definedName name="LAperPlt">#REF!</definedName>
    <definedName name="Length">#REF!</definedName>
    <definedName name="Mvalue">#REF!</definedName>
    <definedName name="NetPho">#REF!</definedName>
    <definedName name="NofLamap">#REF!</definedName>
    <definedName name="NofLamp">#REF!</definedName>
    <definedName name="NoofPlt">#REF!</definedName>
    <definedName name="PAR">#REF!</definedName>
    <definedName name="PhoResp">#REF!</definedName>
    <definedName name="PhotoS">#REF!</definedName>
    <definedName name="Pmax">#REF!</definedName>
    <definedName name="PPFD">#REF!</definedName>
    <definedName name="QC">#REF!</definedName>
    <definedName name="QV">#REF!</definedName>
    <definedName name="RatioPhoResp">#REF!</definedName>
    <definedName name="Rav">#REF!</definedName>
    <definedName name="Rd20C">#REF!</definedName>
    <definedName name="Rlv">#REF!</definedName>
    <definedName name="Rlv_inc">#REF!</definedName>
    <definedName name="Tin">#REF!</definedName>
    <definedName name="TotalWofLamp">#REF!</definedName>
    <definedName name="Tout">#REF!</definedName>
    <definedName name="TR">#REF!</definedName>
    <definedName name="Transp_rate">#REF!</definedName>
    <definedName name="Uvalue">#REF!</definedName>
    <definedName name="Vdin">#REF!</definedName>
    <definedName name="Vdout">#REF!</definedName>
    <definedName name="VolofRoom">#REF!</definedName>
    <definedName name="VW">#REF!</definedName>
    <definedName name="We">#REF!</definedName>
    <definedName name="Width">#REF!</definedName>
    <definedName name="WL">#REF!</definedName>
    <definedName name="Wofequip">#REF!</definedName>
    <definedName name="WperLamp">#REF!</definedName>
  </definedNames>
  <calcPr calcId="191029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" i="3"/>
  <c r="F9" i="2" l="1"/>
  <c r="E9" i="2"/>
  <c r="D9" i="2"/>
  <c r="U4" i="3" l="1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3" i="3"/>
  <c r="H3" i="2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3" i="3"/>
  <c r="J16" i="3"/>
  <c r="K16" i="3" s="1"/>
  <c r="L16" i="3" s="1"/>
  <c r="N16" i="3"/>
  <c r="V16" i="3" s="1"/>
  <c r="J17" i="3"/>
  <c r="K17" i="3" s="1"/>
  <c r="L17" i="3" s="1"/>
  <c r="N17" i="3"/>
  <c r="V17" i="3" s="1"/>
  <c r="J18" i="3"/>
  <c r="K18" i="3" s="1"/>
  <c r="N18" i="3"/>
  <c r="V18" i="3" s="1"/>
  <c r="J19" i="3"/>
  <c r="K19" i="3" s="1"/>
  <c r="N19" i="3"/>
  <c r="V19" i="3" s="1"/>
  <c r="J20" i="3"/>
  <c r="K20" i="3" s="1"/>
  <c r="L20" i="3" s="1"/>
  <c r="N20" i="3"/>
  <c r="V20" i="3" s="1"/>
  <c r="J21" i="3"/>
  <c r="K21" i="3" s="1"/>
  <c r="N21" i="3"/>
  <c r="V21" i="3" s="1"/>
  <c r="J22" i="3"/>
  <c r="K22" i="3" s="1"/>
  <c r="L22" i="3" s="1"/>
  <c r="N22" i="3"/>
  <c r="V22" i="3" s="1"/>
  <c r="J23" i="3"/>
  <c r="K23" i="3" s="1"/>
  <c r="N23" i="3"/>
  <c r="V23" i="3" s="1"/>
  <c r="J24" i="3"/>
  <c r="K24" i="3" s="1"/>
  <c r="N24" i="3"/>
  <c r="V24" i="3" s="1"/>
  <c r="J25" i="3"/>
  <c r="K25" i="3" s="1"/>
  <c r="N25" i="3"/>
  <c r="V25" i="3" s="1"/>
  <c r="J26" i="3"/>
  <c r="K26" i="3" s="1"/>
  <c r="N26" i="3"/>
  <c r="V26" i="3" s="1"/>
  <c r="J7" i="3"/>
  <c r="K7" i="3" s="1"/>
  <c r="N7" i="3"/>
  <c r="V7" i="3" s="1"/>
  <c r="J8" i="3"/>
  <c r="K8" i="3" s="1"/>
  <c r="N8" i="3"/>
  <c r="V8" i="3" s="1"/>
  <c r="J9" i="3"/>
  <c r="K9" i="3"/>
  <c r="L9" i="3" s="1"/>
  <c r="N9" i="3"/>
  <c r="V9" i="3" s="1"/>
  <c r="J10" i="3"/>
  <c r="K10" i="3" s="1"/>
  <c r="L10" i="3" s="1"/>
  <c r="N10" i="3"/>
  <c r="V10" i="3" s="1"/>
  <c r="J11" i="3"/>
  <c r="K11" i="3" s="1"/>
  <c r="N11" i="3"/>
  <c r="V11" i="3" s="1"/>
  <c r="J12" i="3"/>
  <c r="K12" i="3" s="1"/>
  <c r="L12" i="3" s="1"/>
  <c r="N12" i="3"/>
  <c r="V12" i="3" s="1"/>
  <c r="J13" i="3"/>
  <c r="K13" i="3" s="1"/>
  <c r="L13" i="3" s="1"/>
  <c r="N13" i="3"/>
  <c r="V13" i="3" s="1"/>
  <c r="J14" i="3"/>
  <c r="K14" i="3" s="1"/>
  <c r="L14" i="3" s="1"/>
  <c r="N14" i="3"/>
  <c r="V14" i="3" s="1"/>
  <c r="J15" i="3"/>
  <c r="K15" i="3" s="1"/>
  <c r="N15" i="3"/>
  <c r="V15" i="3" s="1"/>
  <c r="J4" i="3"/>
  <c r="K4" i="3" s="1"/>
  <c r="L4" i="3" s="1"/>
  <c r="N4" i="3"/>
  <c r="V4" i="3" s="1"/>
  <c r="J5" i="3"/>
  <c r="K5" i="3" s="1"/>
  <c r="L5" i="3" s="1"/>
  <c r="N5" i="3"/>
  <c r="V5" i="3" s="1"/>
  <c r="J6" i="3"/>
  <c r="K6" i="3" s="1"/>
  <c r="N6" i="3"/>
  <c r="V6" i="3" s="1"/>
  <c r="N3" i="3"/>
  <c r="V3" i="3" s="1"/>
  <c r="L7" i="2"/>
  <c r="J3" i="3"/>
  <c r="K3" i="3" s="1"/>
  <c r="L3" i="3" s="1"/>
  <c r="I18" i="2"/>
  <c r="I4" i="3"/>
  <c r="O4" i="3" s="1"/>
  <c r="X4" i="3" s="1"/>
  <c r="I5" i="3"/>
  <c r="R5" i="3" s="1"/>
  <c r="I6" i="3"/>
  <c r="O6" i="3" s="1"/>
  <c r="X6" i="3" s="1"/>
  <c r="I7" i="3"/>
  <c r="T7" i="3" s="1"/>
  <c r="I8" i="3"/>
  <c r="T8" i="3" s="1"/>
  <c r="I9" i="3"/>
  <c r="O9" i="3" s="1"/>
  <c r="X9" i="3" s="1"/>
  <c r="I10" i="3"/>
  <c r="T10" i="3" s="1"/>
  <c r="I11" i="3"/>
  <c r="T11" i="3" s="1"/>
  <c r="I12" i="3"/>
  <c r="O12" i="3" s="1"/>
  <c r="X12" i="3" s="1"/>
  <c r="I13" i="3"/>
  <c r="O13" i="3" s="1"/>
  <c r="X13" i="3" s="1"/>
  <c r="I14" i="3"/>
  <c r="O14" i="3" s="1"/>
  <c r="X14" i="3" s="1"/>
  <c r="I15" i="3"/>
  <c r="T15" i="3" s="1"/>
  <c r="I16" i="3"/>
  <c r="T16" i="3" s="1"/>
  <c r="I17" i="3"/>
  <c r="T17" i="3" s="1"/>
  <c r="I18" i="3"/>
  <c r="O18" i="3" s="1"/>
  <c r="X18" i="3" s="1"/>
  <c r="I19" i="3"/>
  <c r="O19" i="3" s="1"/>
  <c r="X19" i="3" s="1"/>
  <c r="I20" i="3"/>
  <c r="O20" i="3" s="1"/>
  <c r="X20" i="3" s="1"/>
  <c r="I21" i="3"/>
  <c r="O21" i="3" s="1"/>
  <c r="X21" i="3" s="1"/>
  <c r="I22" i="3"/>
  <c r="O22" i="3" s="1"/>
  <c r="X22" i="3" s="1"/>
  <c r="I23" i="3"/>
  <c r="T23" i="3" s="1"/>
  <c r="I24" i="3"/>
  <c r="T24" i="3" s="1"/>
  <c r="I25" i="3"/>
  <c r="T25" i="3" s="1"/>
  <c r="I26" i="3"/>
  <c r="R26" i="3" s="1"/>
  <c r="I3" i="3"/>
  <c r="O3" i="3" s="1"/>
  <c r="X3" i="3" s="1"/>
  <c r="H11" i="3"/>
  <c r="M11" i="3" s="1"/>
  <c r="W11" i="3" s="1"/>
  <c r="H12" i="3"/>
  <c r="M12" i="3" s="1"/>
  <c r="W12" i="3" s="1"/>
  <c r="H13" i="3"/>
  <c r="M13" i="3" s="1"/>
  <c r="W13" i="3" s="1"/>
  <c r="H14" i="3"/>
  <c r="Q14" i="3" s="1"/>
  <c r="H15" i="3"/>
  <c r="Q15" i="3" s="1"/>
  <c r="H16" i="3"/>
  <c r="Q16" i="3" s="1"/>
  <c r="H17" i="3"/>
  <c r="M17" i="3" s="1"/>
  <c r="W17" i="3" s="1"/>
  <c r="H18" i="3"/>
  <c r="M18" i="3" s="1"/>
  <c r="W18" i="3" s="1"/>
  <c r="H19" i="3"/>
  <c r="M19" i="3" s="1"/>
  <c r="W19" i="3" s="1"/>
  <c r="H20" i="3"/>
  <c r="M20" i="3" s="1"/>
  <c r="W20" i="3" s="1"/>
  <c r="H21" i="3"/>
  <c r="M21" i="3" s="1"/>
  <c r="W21" i="3" s="1"/>
  <c r="H22" i="3"/>
  <c r="Q22" i="3" s="1"/>
  <c r="H23" i="3"/>
  <c r="Q23" i="3" s="1"/>
  <c r="H24" i="3"/>
  <c r="Q24" i="3" s="1"/>
  <c r="H25" i="3"/>
  <c r="Q25" i="3" s="1"/>
  <c r="H26" i="3"/>
  <c r="M26" i="3" s="1"/>
  <c r="W26" i="3" s="1"/>
  <c r="H4" i="3"/>
  <c r="M4" i="3" s="1"/>
  <c r="W4" i="3" s="1"/>
  <c r="H5" i="3"/>
  <c r="M5" i="3" s="1"/>
  <c r="W5" i="3" s="1"/>
  <c r="H6" i="3"/>
  <c r="Q6" i="3" s="1"/>
  <c r="H7" i="3"/>
  <c r="Q7" i="3" s="1"/>
  <c r="H8" i="3"/>
  <c r="M8" i="3" s="1"/>
  <c r="W8" i="3" s="1"/>
  <c r="H9" i="3"/>
  <c r="Q9" i="3" s="1"/>
  <c r="H10" i="3"/>
  <c r="M10" i="3" s="1"/>
  <c r="W10" i="3" s="1"/>
  <c r="H3" i="3"/>
  <c r="BB38" i="3"/>
  <c r="BB37" i="3"/>
  <c r="BB36" i="3"/>
  <c r="BB35" i="3"/>
  <c r="BB34" i="3"/>
  <c r="BB33" i="3"/>
  <c r="BB32" i="3"/>
  <c r="BB31" i="3"/>
  <c r="BB30" i="3"/>
  <c r="Q3" i="3" l="1"/>
  <c r="M3" i="3"/>
  <c r="W3" i="3" s="1"/>
  <c r="Y3" i="3" s="1"/>
  <c r="M16" i="3"/>
  <c r="W16" i="3" s="1"/>
  <c r="O26" i="3"/>
  <c r="X26" i="3" s="1"/>
  <c r="M9" i="3"/>
  <c r="W9" i="3" s="1"/>
  <c r="Y9" i="3" s="1"/>
  <c r="Q17" i="3"/>
  <c r="O17" i="3"/>
  <c r="X17" i="3" s="1"/>
  <c r="Y17" i="3" s="1"/>
  <c r="R18" i="3"/>
  <c r="Y18" i="3"/>
  <c r="T3" i="3"/>
  <c r="M24" i="3"/>
  <c r="W24" i="3" s="1"/>
  <c r="T26" i="3"/>
  <c r="Q10" i="3"/>
  <c r="M25" i="3"/>
  <c r="W25" i="3" s="1"/>
  <c r="O11" i="3"/>
  <c r="X11" i="3" s="1"/>
  <c r="O24" i="3"/>
  <c r="X24" i="3" s="1"/>
  <c r="Y24" i="3" s="1"/>
  <c r="R19" i="3"/>
  <c r="Y26" i="3"/>
  <c r="Y4" i="3"/>
  <c r="Y11" i="3"/>
  <c r="Y21" i="3"/>
  <c r="L21" i="3"/>
  <c r="P21" i="3" s="1"/>
  <c r="Y13" i="3"/>
  <c r="Y12" i="3"/>
  <c r="Y20" i="3"/>
  <c r="T5" i="3"/>
  <c r="R21" i="3"/>
  <c r="Z21" i="3" s="1"/>
  <c r="AA21" i="3" s="1"/>
  <c r="Q11" i="3"/>
  <c r="Q12" i="3"/>
  <c r="O5" i="3"/>
  <c r="X5" i="3" s="1"/>
  <c r="Y5" i="3" s="1"/>
  <c r="T18" i="3"/>
  <c r="Q20" i="3"/>
  <c r="Q4" i="3"/>
  <c r="R11" i="3"/>
  <c r="T13" i="3"/>
  <c r="T21" i="3"/>
  <c r="Y19" i="3"/>
  <c r="T19" i="3"/>
  <c r="R13" i="3"/>
  <c r="O8" i="3"/>
  <c r="X8" i="3" s="1"/>
  <c r="Y8" i="3" s="1"/>
  <c r="O25" i="3"/>
  <c r="X25" i="3" s="1"/>
  <c r="Y25" i="3" s="1"/>
  <c r="Q19" i="3"/>
  <c r="Q26" i="3"/>
  <c r="Z26" i="3" s="1"/>
  <c r="R10" i="3"/>
  <c r="Z10" i="3" s="1"/>
  <c r="O10" i="3"/>
  <c r="X10" i="3" s="1"/>
  <c r="Y10" i="3" s="1"/>
  <c r="Q18" i="3"/>
  <c r="R3" i="3"/>
  <c r="Z3" i="3" s="1"/>
  <c r="L11" i="3"/>
  <c r="L19" i="3"/>
  <c r="P19" i="3" s="1"/>
  <c r="L6" i="3"/>
  <c r="L26" i="3"/>
  <c r="P26" i="3" s="1"/>
  <c r="L18" i="3"/>
  <c r="P18" i="3" s="1"/>
  <c r="L25" i="3"/>
  <c r="O7" i="3"/>
  <c r="X7" i="3" s="1"/>
  <c r="Q21" i="3"/>
  <c r="Q13" i="3"/>
  <c r="Q5" i="3"/>
  <c r="Z5" i="3" s="1"/>
  <c r="R22" i="3"/>
  <c r="Z22" i="3" s="1"/>
  <c r="R14" i="3"/>
  <c r="Z14" i="3" s="1"/>
  <c r="R6" i="3"/>
  <c r="Z6" i="3" s="1"/>
  <c r="T22" i="3"/>
  <c r="T14" i="3"/>
  <c r="T6" i="3"/>
  <c r="P20" i="3"/>
  <c r="R20" i="3"/>
  <c r="Z20" i="3" s="1"/>
  <c r="AA20" i="3" s="1"/>
  <c r="R12" i="3"/>
  <c r="Z12" i="3" s="1"/>
  <c r="AA12" i="3" s="1"/>
  <c r="R4" i="3"/>
  <c r="Z4" i="3" s="1"/>
  <c r="T20" i="3"/>
  <c r="T12" i="3"/>
  <c r="T4" i="3"/>
  <c r="M7" i="3"/>
  <c r="W7" i="3" s="1"/>
  <c r="M6" i="3"/>
  <c r="W6" i="3" s="1"/>
  <c r="Y6" i="3" s="1"/>
  <c r="Q8" i="3"/>
  <c r="R25" i="3"/>
  <c r="Z25" i="3" s="1"/>
  <c r="AA25" i="3" s="1"/>
  <c r="R17" i="3"/>
  <c r="Z17" i="3" s="1"/>
  <c r="R9" i="3"/>
  <c r="Z9" i="3" s="1"/>
  <c r="T9" i="3"/>
  <c r="P12" i="3"/>
  <c r="M14" i="3"/>
  <c r="M22" i="3"/>
  <c r="O15" i="3"/>
  <c r="X15" i="3" s="1"/>
  <c r="O23" i="3"/>
  <c r="X23" i="3" s="1"/>
  <c r="M15" i="3"/>
  <c r="W15" i="3" s="1"/>
  <c r="M23" i="3"/>
  <c r="W23" i="3" s="1"/>
  <c r="O16" i="3"/>
  <c r="X16" i="3" s="1"/>
  <c r="Y16" i="3" s="1"/>
  <c r="R24" i="3"/>
  <c r="Z24" i="3" s="1"/>
  <c r="AA24" i="3" s="1"/>
  <c r="R16" i="3"/>
  <c r="Z16" i="3" s="1"/>
  <c r="R8" i="3"/>
  <c r="Z8" i="3" s="1"/>
  <c r="AA8" i="3" s="1"/>
  <c r="P3" i="3"/>
  <c r="P13" i="3"/>
  <c r="P17" i="3"/>
  <c r="R23" i="3"/>
  <c r="Z23" i="3" s="1"/>
  <c r="R15" i="3"/>
  <c r="Z15" i="3" s="1"/>
  <c r="R7" i="3"/>
  <c r="Z7" i="3" s="1"/>
  <c r="L24" i="3"/>
  <c r="P24" i="3" s="1"/>
  <c r="L23" i="3"/>
  <c r="L15" i="3"/>
  <c r="L8" i="3"/>
  <c r="L7" i="3"/>
  <c r="P4" i="3"/>
  <c r="K1" i="1"/>
  <c r="M17" i="1"/>
  <c r="K17" i="1" s="1"/>
  <c r="K16" i="1" s="1"/>
  <c r="L42" i="1"/>
  <c r="M42" i="1"/>
  <c r="N42" i="1"/>
  <c r="M41" i="1"/>
  <c r="N41" i="1"/>
  <c r="L41" i="1"/>
  <c r="C5" i="2"/>
  <c r="G5" i="2" s="1"/>
  <c r="G4" i="2"/>
  <c r="S29" i="2"/>
  <c r="S30" i="2"/>
  <c r="S31" i="2"/>
  <c r="S32" i="2"/>
  <c r="S33" i="2"/>
  <c r="S34" i="2"/>
  <c r="S35" i="2"/>
  <c r="S36" i="2"/>
  <c r="S37" i="2"/>
  <c r="P29" i="2"/>
  <c r="P30" i="2"/>
  <c r="P31" i="2"/>
  <c r="P32" i="2"/>
  <c r="P33" i="2"/>
  <c r="P34" i="2"/>
  <c r="P35" i="2"/>
  <c r="P36" i="2"/>
  <c r="P37" i="2"/>
  <c r="E5" i="2"/>
  <c r="E6" i="2" s="1"/>
  <c r="K18" i="2"/>
  <c r="K19" i="2" s="1"/>
  <c r="AA4" i="3" l="1"/>
  <c r="P5" i="3"/>
  <c r="AA5" i="3"/>
  <c r="AA16" i="3"/>
  <c r="Y7" i="3"/>
  <c r="AB7" i="3" s="1"/>
  <c r="Z19" i="3"/>
  <c r="AA19" i="3" s="1"/>
  <c r="Z13" i="3"/>
  <c r="AA13" i="3" s="1"/>
  <c r="AA6" i="3"/>
  <c r="AA3" i="3"/>
  <c r="AB9" i="3"/>
  <c r="AA17" i="3"/>
  <c r="AB26" i="3"/>
  <c r="AA9" i="3"/>
  <c r="AB3" i="3"/>
  <c r="AA10" i="3"/>
  <c r="AB12" i="3"/>
  <c r="AC12" i="3" s="1"/>
  <c r="AD12" i="3" s="1"/>
  <c r="AF12" i="3" s="1"/>
  <c r="AG12" i="3" s="1"/>
  <c r="P9" i="3"/>
  <c r="P7" i="3"/>
  <c r="AA26" i="3"/>
  <c r="Z11" i="3"/>
  <c r="AA11" i="3" s="1"/>
  <c r="AB13" i="3"/>
  <c r="AC13" i="3" s="1"/>
  <c r="AD13" i="3" s="1"/>
  <c r="AF13" i="3" s="1"/>
  <c r="AG13" i="3" s="1"/>
  <c r="Z18" i="3"/>
  <c r="AA18" i="3" s="1"/>
  <c r="AB20" i="3"/>
  <c r="AC20" i="3" s="1"/>
  <c r="AD20" i="3" s="1"/>
  <c r="AF20" i="3" s="1"/>
  <c r="AG20" i="3" s="1"/>
  <c r="AB4" i="3"/>
  <c r="AC4" i="3" s="1"/>
  <c r="AD4" i="3" s="1"/>
  <c r="AF4" i="3" s="1"/>
  <c r="AB24" i="3"/>
  <c r="AC24" i="3" s="1"/>
  <c r="AD24" i="3" s="1"/>
  <c r="AB17" i="3"/>
  <c r="Y23" i="3"/>
  <c r="AA23" i="3" s="1"/>
  <c r="Y15" i="3"/>
  <c r="AA15" i="3" s="1"/>
  <c r="P11" i="3"/>
  <c r="AB21" i="3"/>
  <c r="AC21" i="3" s="1"/>
  <c r="AD21" i="3" s="1"/>
  <c r="AB25" i="3"/>
  <c r="AC25" i="3" s="1"/>
  <c r="AD25" i="3" s="1"/>
  <c r="AB5" i="3"/>
  <c r="AC5" i="3" s="1"/>
  <c r="AD5" i="3" s="1"/>
  <c r="AB8" i="3"/>
  <c r="AC8" i="3" s="1"/>
  <c r="AD8" i="3" s="1"/>
  <c r="AB6" i="3"/>
  <c r="AC6" i="3" s="1"/>
  <c r="AD6" i="3" s="1"/>
  <c r="AB10" i="3"/>
  <c r="AB16" i="3"/>
  <c r="AC16" i="3" s="1"/>
  <c r="AD16" i="3" s="1"/>
  <c r="P6" i="3"/>
  <c r="P23" i="3"/>
  <c r="P14" i="3"/>
  <c r="W14" i="3"/>
  <c r="Y14" i="3" s="1"/>
  <c r="AA14" i="3" s="1"/>
  <c r="P8" i="3"/>
  <c r="P16" i="3"/>
  <c r="P22" i="3"/>
  <c r="W22" i="3"/>
  <c r="Y22" i="3" s="1"/>
  <c r="AA22" i="3" s="1"/>
  <c r="P10" i="3"/>
  <c r="P25" i="3"/>
  <c r="P15" i="3"/>
  <c r="C12" i="2"/>
  <c r="C13" i="2"/>
  <c r="C6" i="2"/>
  <c r="C14" i="2"/>
  <c r="H12" i="2"/>
  <c r="K27" i="2"/>
  <c r="K20" i="2"/>
  <c r="M20" i="2" s="1"/>
  <c r="H2" i="2"/>
  <c r="F2" i="2"/>
  <c r="M7" i="2"/>
  <c r="M8" i="2" s="1"/>
  <c r="L8" i="2"/>
  <c r="K7" i="2"/>
  <c r="K8" i="2" s="1"/>
  <c r="I7" i="2"/>
  <c r="I8" i="2" s="1"/>
  <c r="H11" i="2"/>
  <c r="I11" i="2" s="1"/>
  <c r="H1" i="2"/>
  <c r="AA7" i="3" l="1"/>
  <c r="AC7" i="3" s="1"/>
  <c r="AD7" i="3" s="1"/>
  <c r="AF7" i="3" s="1"/>
  <c r="AG7" i="3" s="1"/>
  <c r="AB19" i="3"/>
  <c r="AC19" i="3" s="1"/>
  <c r="AD19" i="3" s="1"/>
  <c r="AC26" i="3"/>
  <c r="AD26" i="3" s="1"/>
  <c r="AF26" i="3" s="1"/>
  <c r="AG26" i="3" s="1"/>
  <c r="AC17" i="3"/>
  <c r="AD17" i="3" s="1"/>
  <c r="AF17" i="3" s="1"/>
  <c r="AG17" i="3" s="1"/>
  <c r="AC3" i="3"/>
  <c r="AD3" i="3" s="1"/>
  <c r="AF3" i="3" s="1"/>
  <c r="AG3" i="3" s="1"/>
  <c r="AC9" i="3"/>
  <c r="AD9" i="3" s="1"/>
  <c r="AF9" i="3" s="1"/>
  <c r="AG9" i="3" s="1"/>
  <c r="AB11" i="3"/>
  <c r="AC11" i="3" s="1"/>
  <c r="AD11" i="3" s="1"/>
  <c r="AF11" i="3" s="1"/>
  <c r="AG11" i="3" s="1"/>
  <c r="AG4" i="3"/>
  <c r="AC10" i="3"/>
  <c r="AD10" i="3" s="1"/>
  <c r="AF10" i="3" s="1"/>
  <c r="AB18" i="3"/>
  <c r="AC18" i="3" s="1"/>
  <c r="AD18" i="3" s="1"/>
  <c r="AF24" i="3"/>
  <c r="AG24" i="3" s="1"/>
  <c r="AF25" i="3"/>
  <c r="AG25" i="3" s="1"/>
  <c r="AF21" i="3"/>
  <c r="AG21" i="3" s="1"/>
  <c r="AF16" i="3"/>
  <c r="AG16" i="3" s="1"/>
  <c r="AF6" i="3"/>
  <c r="AG6" i="3" s="1"/>
  <c r="AF19" i="3"/>
  <c r="AG19" i="3" s="1"/>
  <c r="AF8" i="3"/>
  <c r="AG8" i="3" s="1"/>
  <c r="AF5" i="3"/>
  <c r="AG5" i="3" s="1"/>
  <c r="AB15" i="3"/>
  <c r="AC15" i="3" s="1"/>
  <c r="AD15" i="3" s="1"/>
  <c r="AB23" i="3"/>
  <c r="AC23" i="3" s="1"/>
  <c r="AD23" i="3" s="1"/>
  <c r="AB22" i="3"/>
  <c r="AC22" i="3" s="1"/>
  <c r="AD22" i="3" s="1"/>
  <c r="AB14" i="3"/>
  <c r="AC14" i="3" s="1"/>
  <c r="AD14" i="3" s="1"/>
  <c r="K2" i="2"/>
  <c r="K15" i="2"/>
  <c r="L15" i="2"/>
  <c r="M15" i="2"/>
  <c r="K11" i="2"/>
  <c r="K23" i="2" s="1"/>
  <c r="M11" i="2"/>
  <c r="M23" i="2" s="1"/>
  <c r="I12" i="2"/>
  <c r="L11" i="2"/>
  <c r="L23" i="2" s="1"/>
  <c r="E6" i="1"/>
  <c r="F6" i="1"/>
  <c r="D6" i="1"/>
  <c r="K18" i="1"/>
  <c r="K19" i="1" s="1"/>
  <c r="K6" i="1"/>
  <c r="K8" i="1" s="1"/>
  <c r="L6" i="1"/>
  <c r="L8" i="1" s="1"/>
  <c r="M6" i="1"/>
  <c r="M8" i="1" s="1"/>
  <c r="J13" i="1"/>
  <c r="J10" i="1" s="1"/>
  <c r="J14" i="1"/>
  <c r="I5" i="1"/>
  <c r="I6" i="1" s="1"/>
  <c r="F3" i="1"/>
  <c r="D3" i="1"/>
  <c r="E1" i="1"/>
  <c r="D10" i="2" l="1"/>
  <c r="E10" i="2"/>
  <c r="F10" i="2"/>
  <c r="F12" i="2" s="1"/>
  <c r="AG10" i="3"/>
  <c r="AF18" i="3"/>
  <c r="AG18" i="3" s="1"/>
  <c r="AF14" i="3"/>
  <c r="AG14" i="3" s="1"/>
  <c r="AF23" i="3"/>
  <c r="AG23" i="3" s="1"/>
  <c r="AF22" i="3"/>
  <c r="AG22" i="3" s="1"/>
  <c r="AF15" i="3"/>
  <c r="AG15" i="3" s="1"/>
  <c r="F19" i="2"/>
  <c r="H3" i="1"/>
  <c r="E15" i="2"/>
  <c r="F15" i="2"/>
  <c r="M16" i="2"/>
  <c r="F13" i="2" s="1"/>
  <c r="L16" i="2"/>
  <c r="K16" i="2"/>
  <c r="D15" i="2"/>
  <c r="K12" i="2"/>
  <c r="K24" i="2" s="1"/>
  <c r="M12" i="2"/>
  <c r="M24" i="2" s="1"/>
  <c r="L12" i="2"/>
  <c r="L24" i="2" s="1"/>
  <c r="L14" i="1"/>
  <c r="L22" i="1" s="1"/>
  <c r="K14" i="1"/>
  <c r="K22" i="1" s="1"/>
  <c r="K13" i="1"/>
  <c r="K21" i="1" s="1"/>
  <c r="M14" i="1"/>
  <c r="M22" i="1" s="1"/>
  <c r="L13" i="1"/>
  <c r="L21" i="1" s="1"/>
  <c r="M13" i="1"/>
  <c r="M21" i="1" s="1"/>
  <c r="M10" i="1"/>
  <c r="L10" i="1"/>
  <c r="K10" i="1"/>
  <c r="J11" i="1"/>
  <c r="M11" i="1" s="1"/>
  <c r="E13" i="2" l="1"/>
  <c r="D12" i="2"/>
  <c r="D13" i="2"/>
  <c r="E13" i="1"/>
  <c r="D19" i="2"/>
  <c r="E19" i="2"/>
  <c r="E12" i="2"/>
  <c r="E20" i="2"/>
  <c r="F20" i="2"/>
  <c r="F23" i="2" s="1"/>
  <c r="F22" i="2"/>
  <c r="F25" i="2" s="1"/>
  <c r="D20" i="2"/>
  <c r="F13" i="1"/>
  <c r="D13" i="1"/>
  <c r="F14" i="1"/>
  <c r="D7" i="1"/>
  <c r="D10" i="1" s="1"/>
  <c r="F7" i="1"/>
  <c r="F11" i="1" s="1"/>
  <c r="E7" i="1"/>
  <c r="E10" i="1" s="1"/>
  <c r="K11" i="1"/>
  <c r="L11" i="1"/>
  <c r="E22" i="2" l="1"/>
  <c r="E25" i="2" s="1"/>
  <c r="I26" i="2" s="1"/>
  <c r="K26" i="2" s="1"/>
  <c r="K28" i="2" s="1"/>
  <c r="E11" i="1"/>
  <c r="D11" i="1"/>
  <c r="F10" i="1"/>
  <c r="D22" i="2"/>
  <c r="D25" i="2" s="1"/>
  <c r="D23" i="2"/>
  <c r="E23" i="2"/>
  <c r="E16" i="1"/>
  <c r="E17" i="1"/>
  <c r="D17" i="1"/>
  <c r="D16" i="1"/>
  <c r="D19" i="1" s="1"/>
  <c r="D23" i="1" s="1"/>
  <c r="F17" i="1"/>
  <c r="F16" i="1"/>
  <c r="E16" i="2"/>
  <c r="D16" i="2"/>
  <c r="F16" i="2"/>
  <c r="F26" i="2" s="1"/>
  <c r="D14" i="1"/>
  <c r="E14" i="1"/>
  <c r="F19" i="1" l="1"/>
  <c r="F23" i="1" s="1"/>
  <c r="D26" i="2"/>
  <c r="E26" i="2"/>
  <c r="D20" i="1"/>
  <c r="D24" i="1" s="1"/>
  <c r="F20" i="1"/>
  <c r="F24" i="1" s="1"/>
  <c r="E19" i="1"/>
  <c r="E23" i="1" s="1"/>
  <c r="E20" i="1"/>
  <c r="E24" i="1" s="1"/>
</calcChain>
</file>

<file path=xl/sharedStrings.xml><?xml version="1.0" encoding="utf-8"?>
<sst xmlns="http://schemas.openxmlformats.org/spreadsheetml/2006/main" count="250" uniqueCount="165">
  <si>
    <t>Pmax</t>
    <phoneticPr fontId="1" type="noConversion"/>
  </si>
  <si>
    <t>Gtl</t>
    <phoneticPr fontId="1" type="noConversion"/>
  </si>
  <si>
    <t>GI</t>
    <phoneticPr fontId="1" type="noConversion"/>
  </si>
  <si>
    <t>low</t>
    <phoneticPr fontId="1" type="noConversion"/>
  </si>
  <si>
    <t>PAR</t>
    <phoneticPr fontId="1" type="noConversion"/>
  </si>
  <si>
    <t>light type</t>
    <phoneticPr fontId="1" type="noConversion"/>
  </si>
  <si>
    <t>KI_low</t>
    <phoneticPr fontId="1" type="noConversion"/>
  </si>
  <si>
    <t>KI_std</t>
    <phoneticPr fontId="1" type="noConversion"/>
  </si>
  <si>
    <t>CO2type</t>
    <phoneticPr fontId="1" type="noConversion"/>
  </si>
  <si>
    <t>mg/m3</t>
    <phoneticPr fontId="1" type="noConversion"/>
  </si>
  <si>
    <t>Rac</t>
    <phoneticPr fontId="1" type="noConversion"/>
  </si>
  <si>
    <t>Rlc</t>
    <phoneticPr fontId="1" type="noConversion"/>
  </si>
  <si>
    <t>Rav</t>
    <phoneticPr fontId="1" type="noConversion"/>
  </si>
  <si>
    <t>Rlv</t>
    <phoneticPr fontId="1" type="noConversion"/>
  </si>
  <si>
    <t>kg/ha/hr</t>
    <phoneticPr fontId="1" type="noConversion"/>
  </si>
  <si>
    <t>std</t>
    <phoneticPr fontId="1" type="noConversion"/>
  </si>
  <si>
    <t>Rlv</t>
    <phoneticPr fontId="1" type="noConversion"/>
  </si>
  <si>
    <t>high</t>
    <phoneticPr fontId="1" type="noConversion"/>
  </si>
  <si>
    <t>Rlv</t>
    <phoneticPr fontId="1" type="noConversion"/>
  </si>
  <si>
    <t>std</t>
    <phoneticPr fontId="1" type="noConversion"/>
  </si>
  <si>
    <t>KI_high</t>
    <phoneticPr fontId="1" type="noConversion"/>
  </si>
  <si>
    <t>a=</t>
    <phoneticPr fontId="1" type="noConversion"/>
  </si>
  <si>
    <t>Tm=</t>
    <phoneticPr fontId="1" type="noConversion"/>
  </si>
  <si>
    <t>Tl+a</t>
    <phoneticPr fontId="1" type="noConversion"/>
  </si>
  <si>
    <t>Tm+a</t>
    <phoneticPr fontId="1" type="noConversion"/>
  </si>
  <si>
    <t>Kc</t>
    <phoneticPr fontId="1" type="noConversion"/>
  </si>
  <si>
    <t>due to CO2</t>
    <phoneticPr fontId="1" type="noConversion"/>
  </si>
  <si>
    <t>due to light</t>
    <phoneticPr fontId="1" type="noConversion"/>
  </si>
  <si>
    <t>low</t>
    <phoneticPr fontId="1" type="noConversion"/>
  </si>
  <si>
    <t>Rlc</t>
    <phoneticPr fontId="1" type="noConversion"/>
  </si>
  <si>
    <t>Rlc</t>
    <phoneticPr fontId="1" type="noConversion"/>
  </si>
  <si>
    <t>high</t>
    <phoneticPr fontId="1" type="noConversion"/>
  </si>
  <si>
    <t>std</t>
    <phoneticPr fontId="1" type="noConversion"/>
  </si>
  <si>
    <t>low</t>
    <phoneticPr fontId="1" type="noConversion"/>
  </si>
  <si>
    <t>std</t>
    <phoneticPr fontId="1" type="noConversion"/>
  </si>
  <si>
    <t>low</t>
    <phoneticPr fontId="1" type="noConversion"/>
  </si>
  <si>
    <t>due to Wind</t>
    <phoneticPr fontId="1" type="noConversion"/>
  </si>
  <si>
    <t>due to temperature</t>
    <phoneticPr fontId="1" type="noConversion"/>
  </si>
  <si>
    <t>in mg/m3</t>
    <phoneticPr fontId="1" type="noConversion"/>
  </si>
  <si>
    <t>Rc=sum of Rac, Rlc, Rlc.inc, in s/m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</si>
  <si>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Pm</t>
    </r>
    <r>
      <rPr>
        <sz val="12"/>
        <color theme="1"/>
        <rFont val="新細明體"/>
        <family val="2"/>
        <scheme val="minor"/>
      </rPr>
      <t>=Pmax*Gtl*GI, in mg/m2/s</t>
    </r>
    <phoneticPr fontId="1" type="noConversion"/>
  </si>
  <si>
    <t>sqrt(B^2-4AC), in (mg/m3)^2</t>
    <phoneticPr fontId="1" type="noConversion"/>
  </si>
  <si>
    <t>light type</t>
    <phoneticPr fontId="1" type="noConversion"/>
  </si>
  <si>
    <t>CO2 type</t>
    <phoneticPr fontId="1" type="noConversion"/>
  </si>
  <si>
    <t>P 計算</t>
    <phoneticPr fontId="1" type="noConversion"/>
  </si>
  <si>
    <t>in mg/m2/s</t>
    <phoneticPr fontId="1" type="noConversion"/>
  </si>
  <si>
    <t>Tr=VDD/Rv</t>
    <phoneticPr fontId="1" type="noConversion"/>
  </si>
  <si>
    <t>assuming RH=40%</t>
    <phoneticPr fontId="1" type="noConversion"/>
  </si>
  <si>
    <t>assuming Tl=Tair</t>
    <phoneticPr fontId="1" type="noConversion"/>
  </si>
  <si>
    <t>VDD=</t>
    <phoneticPr fontId="1" type="noConversion"/>
  </si>
  <si>
    <t>VD_40%RH</t>
    <phoneticPr fontId="1" type="noConversion"/>
  </si>
  <si>
    <t>VD_100%RH</t>
    <phoneticPr fontId="1" type="noConversion"/>
  </si>
  <si>
    <t>g/m3</t>
    <phoneticPr fontId="1" type="noConversion"/>
  </si>
  <si>
    <t>Rv=sum of Rav, Rlv, Rlv.inc, in s/m</t>
    <phoneticPr fontId="1" type="noConversion"/>
  </si>
  <si>
    <t>in g/m3*m/s</t>
    <phoneticPr fontId="1" type="noConversion"/>
  </si>
  <si>
    <t>=g/m2/s</t>
    <phoneticPr fontId="1" type="noConversion"/>
  </si>
  <si>
    <t>as shown in Chap.7</t>
    <phoneticPr fontId="1" type="noConversion"/>
  </si>
  <si>
    <t>Rlv.inc.</t>
    <phoneticPr fontId="1" type="noConversion"/>
  </si>
  <si>
    <t>Rlc.inc.</t>
    <phoneticPr fontId="1" type="noConversion"/>
  </si>
  <si>
    <t>A=Rc</t>
    <phoneticPr fontId="1" type="noConversion"/>
  </si>
  <si>
    <t>P=[-B-sqrt(B^2-4*A*C)]/(2*A), in (mg/m3)*m/s = mg/m2/s</t>
    <phoneticPr fontId="1" type="noConversion"/>
  </si>
  <si>
    <t>low</t>
    <phoneticPr fontId="1" type="noConversion"/>
  </si>
  <si>
    <t>low</t>
    <phoneticPr fontId="1" type="noConversion"/>
  </si>
  <si>
    <t>Chap.12 to derive photosynthesis rate</t>
    <phoneticPr fontId="1" type="noConversion"/>
  </si>
  <si>
    <t>mg/m2/s =</t>
    <phoneticPr fontId="1" type="noConversion"/>
  </si>
  <si>
    <t>KI</t>
    <phoneticPr fontId="1" type="noConversion"/>
  </si>
  <si>
    <t>large</t>
    <phoneticPr fontId="1" type="noConversion"/>
  </si>
  <si>
    <t>Rd(20C)</t>
    <phoneticPr fontId="1" type="noConversion"/>
  </si>
  <si>
    <t>Q10=</t>
    <phoneticPr fontId="1" type="noConversion"/>
  </si>
  <si>
    <t xml:space="preserve">PhotoR. = Kpr*PhotoS. </t>
    <phoneticPr fontId="1" type="noConversion"/>
  </si>
  <si>
    <t>PhotoS.</t>
    <phoneticPr fontId="1" type="noConversion"/>
  </si>
  <si>
    <t>PhotoR</t>
    <phoneticPr fontId="1" type="noConversion"/>
  </si>
  <si>
    <t>Dark R.</t>
    <phoneticPr fontId="1" type="noConversion"/>
  </si>
  <si>
    <t>Net PhotoS.</t>
    <phoneticPr fontId="1" type="noConversion"/>
  </si>
  <si>
    <t>std</t>
    <phoneticPr fontId="1" type="noConversion"/>
  </si>
  <si>
    <t>low</t>
    <phoneticPr fontId="1" type="noConversion"/>
  </si>
  <si>
    <t>low</t>
    <phoneticPr fontId="1" type="noConversion"/>
  </si>
  <si>
    <t>Rlc.inc</t>
    <phoneticPr fontId="1" type="noConversion"/>
  </si>
  <si>
    <t>in mg/m3/(s/m)</t>
    <phoneticPr fontId="1" type="noConversion"/>
  </si>
  <si>
    <t>=mg/m2/s</t>
    <phoneticPr fontId="1" type="noConversion"/>
  </si>
  <si>
    <t>Vps</t>
    <phoneticPr fontId="1" type="noConversion"/>
  </si>
  <si>
    <t>Vds</t>
    <phoneticPr fontId="1" type="noConversion"/>
  </si>
  <si>
    <t>g/m3</t>
    <phoneticPr fontId="1" type="noConversion"/>
  </si>
  <si>
    <t>Rho.cc</t>
    <phoneticPr fontId="1" type="noConversion"/>
  </si>
  <si>
    <t>mg/m3</t>
    <phoneticPr fontId="1" type="noConversion"/>
  </si>
  <si>
    <t>ppm</t>
    <phoneticPr fontId="1" type="noConversion"/>
  </si>
  <si>
    <t>based on ppm</t>
    <phoneticPr fontId="1" type="noConversion"/>
  </si>
  <si>
    <t>based on mg/m3</t>
    <phoneticPr fontId="1" type="noConversion"/>
  </si>
  <si>
    <t>Rc=sum of Rac, Rlc, Rlc.inc, in s/m for C3</t>
    <phoneticPr fontId="1" type="noConversion"/>
  </si>
  <si>
    <t>Tl, deg.C</t>
    <phoneticPr fontId="1" type="noConversion"/>
  </si>
  <si>
    <t>RH,%</t>
    <phoneticPr fontId="1" type="noConversion"/>
  </si>
  <si>
    <t>Rao.ca,ppm</t>
    <phoneticPr fontId="1" type="noConversion"/>
  </si>
  <si>
    <t>in mg/m3</t>
    <phoneticPr fontId="1" type="noConversion"/>
  </si>
  <si>
    <t>Kc, mg/m3</t>
    <phoneticPr fontId="1" type="noConversion"/>
  </si>
  <si>
    <t>A=Rc, in s/m</t>
    <phoneticPr fontId="1" type="noConversion"/>
  </si>
  <si>
    <t>4*A*C = 4*Rc*Rao.ca*Pm, in (mg/m3)*(s/m)*(mg/m2/s) =  (mg/m3)^2</t>
    <phoneticPr fontId="1" type="noConversion"/>
  </si>
  <si>
    <r>
      <t>-B=Rho.ca+</t>
    </r>
    <r>
      <rPr>
        <sz val="12"/>
        <color rgb="FFFF0000"/>
        <rFont val="新細明體"/>
        <family val="1"/>
        <charset val="136"/>
        <scheme val="minor"/>
      </rPr>
      <t>Kc</t>
    </r>
    <r>
      <rPr>
        <sz val="12"/>
        <color theme="1"/>
        <rFont val="新細明體"/>
        <family val="2"/>
        <scheme val="minor"/>
      </rPr>
      <t>+</t>
    </r>
    <r>
      <rPr>
        <sz val="12"/>
        <color rgb="FFFF0000"/>
        <rFont val="新細明體"/>
        <family val="1"/>
        <charset val="136"/>
        <scheme val="minor"/>
      </rPr>
      <t>Rc</t>
    </r>
    <r>
      <rPr>
        <sz val="12"/>
        <color theme="1"/>
        <rFont val="新細明體"/>
        <family val="2"/>
        <scheme val="minor"/>
      </rPr>
      <t>*</t>
    </r>
    <r>
      <rPr>
        <sz val="12"/>
        <color rgb="FFFF0000"/>
        <rFont val="新細明體"/>
        <family val="1"/>
        <charset val="136"/>
        <scheme val="minor"/>
      </rPr>
      <t>Pm, all in mg/m3</t>
    </r>
    <phoneticPr fontId="1" type="noConversion"/>
  </si>
  <si>
    <t>std</t>
    <phoneticPr fontId="1" type="noConversion"/>
  </si>
  <si>
    <t>Rlv.CO2</t>
    <phoneticPr fontId="1" type="noConversion"/>
  </si>
  <si>
    <t>Rav.CO2</t>
    <phoneticPr fontId="1" type="noConversion"/>
  </si>
  <si>
    <t>Rlv.inc.CO2</t>
    <phoneticPr fontId="1" type="noConversion"/>
  </si>
  <si>
    <t>R.total</t>
    <phoneticPr fontId="1" type="noConversion"/>
  </si>
  <si>
    <t>4*A*C = 4*Rc*Rao.ca*Pm, in (mg/m3)*(s/m)*(mg/m2/s) =  (mg/m3)^2</t>
    <phoneticPr fontId="1" type="noConversion"/>
  </si>
  <si>
    <t>Vps</t>
    <phoneticPr fontId="1" type="noConversion"/>
  </si>
  <si>
    <t>Rao.ca,mg/m3</t>
    <phoneticPr fontId="1" type="noConversion"/>
  </si>
  <si>
    <t>Dark.Resp.= Rd20*Q10^((Tl-20)/10)=</t>
    <phoneticPr fontId="1" type="noConversion"/>
  </si>
  <si>
    <t>ratio</t>
    <phoneticPr fontId="1" type="noConversion"/>
  </si>
  <si>
    <t>Kpr</t>
    <phoneticPr fontId="1" type="noConversion"/>
  </si>
  <si>
    <t>in ppm</t>
    <phoneticPr fontId="1" type="noConversion"/>
  </si>
  <si>
    <t>Rao.ca</t>
    <phoneticPr fontId="1" type="noConversion"/>
  </si>
  <si>
    <t>small</t>
    <phoneticPr fontId="1" type="noConversion"/>
  </si>
  <si>
    <t>large</t>
    <phoneticPr fontId="1" type="noConversion"/>
  </si>
  <si>
    <r>
      <t>-B=Rho.ca+</t>
    </r>
    <r>
      <rPr>
        <sz val="12"/>
        <color rgb="FFFF0000"/>
        <rFont val="新細明體"/>
        <family val="1"/>
        <charset val="136"/>
        <scheme val="minor"/>
      </rPr>
      <t>Kc</t>
    </r>
    <r>
      <rPr>
        <sz val="12"/>
        <color theme="1"/>
        <rFont val="新細明體"/>
        <family val="2"/>
        <scheme val="minor"/>
      </rPr>
      <t>+</t>
    </r>
    <r>
      <rPr>
        <sz val="12"/>
        <color rgb="FFFF0000"/>
        <rFont val="新細明體"/>
        <family val="1"/>
        <charset val="136"/>
        <scheme val="minor"/>
      </rPr>
      <t>Rc</t>
    </r>
    <r>
      <rPr>
        <sz val="12"/>
        <color theme="1"/>
        <rFont val="新細明體"/>
        <family val="2"/>
        <scheme val="minor"/>
      </rPr>
      <t>*</t>
    </r>
    <r>
      <rPr>
        <sz val="12"/>
        <color rgb="FFFF0000"/>
        <rFont val="新細明體"/>
        <family val="1"/>
        <charset val="136"/>
        <scheme val="minor"/>
      </rPr>
      <t>Pm, all in mg/m3</t>
    </r>
    <phoneticPr fontId="1" type="noConversion"/>
  </si>
  <si>
    <t>Gc, for C3</t>
    <phoneticPr fontId="1" type="noConversion"/>
  </si>
  <si>
    <t>Tl, deg.C</t>
    <phoneticPr fontId="1" type="noConversion"/>
  </si>
  <si>
    <t>a</t>
    <phoneticPr fontId="1" type="noConversion"/>
  </si>
  <si>
    <t>Noted that KI and Kc were set to constant</t>
    <phoneticPr fontId="1" type="noConversion"/>
  </si>
  <si>
    <t>PAR</t>
    <phoneticPr fontId="1" type="noConversion"/>
  </si>
  <si>
    <t>Pn@Tl=20</t>
    <phoneticPr fontId="1" type="noConversion"/>
  </si>
  <si>
    <t>Pn@Tl=10</t>
    <phoneticPr fontId="1" type="noConversion"/>
  </si>
  <si>
    <t>hr:mn</t>
    <phoneticPr fontId="1" type="noConversion"/>
  </si>
  <si>
    <t>Wind,m/s</t>
    <phoneticPr fontId="1" type="noConversion"/>
  </si>
  <si>
    <r>
      <t>CO2,</t>
    </r>
    <r>
      <rPr>
        <sz val="9"/>
        <color theme="1"/>
        <rFont val="新細明體"/>
        <family val="1"/>
        <charset val="136"/>
        <scheme val="minor"/>
      </rPr>
      <t>mg/m3</t>
    </r>
    <phoneticPr fontId="1" type="noConversion"/>
  </si>
  <si>
    <r>
      <t>PAR,</t>
    </r>
    <r>
      <rPr>
        <sz val="9"/>
        <color theme="1"/>
        <rFont val="新細明體"/>
        <family val="1"/>
        <charset val="136"/>
        <scheme val="minor"/>
      </rPr>
      <t>W/m2</t>
    </r>
    <phoneticPr fontId="1" type="noConversion"/>
  </si>
  <si>
    <r>
      <t>CO2,</t>
    </r>
    <r>
      <rPr>
        <sz val="9"/>
        <color theme="1"/>
        <rFont val="新細明體"/>
        <family val="1"/>
        <charset val="136"/>
        <scheme val="minor"/>
      </rPr>
      <t>ppm</t>
    </r>
    <phoneticPr fontId="1" type="noConversion"/>
  </si>
  <si>
    <r>
      <t>PAR,</t>
    </r>
    <r>
      <rPr>
        <sz val="9"/>
        <color theme="1"/>
        <rFont val="新細明體"/>
        <family val="1"/>
        <charset val="136"/>
        <scheme val="minor"/>
      </rPr>
      <t>MJ/m2/h</t>
    </r>
    <phoneticPr fontId="1" type="noConversion"/>
  </si>
  <si>
    <r>
      <t>Vps,</t>
    </r>
    <r>
      <rPr>
        <sz val="9"/>
        <color theme="1"/>
        <rFont val="新細明體"/>
        <family val="1"/>
        <charset val="136"/>
        <scheme val="minor"/>
      </rPr>
      <t>g/m3</t>
    </r>
    <phoneticPr fontId="1" type="noConversion"/>
  </si>
  <si>
    <r>
      <t xml:space="preserve">Vds, </t>
    </r>
    <r>
      <rPr>
        <sz val="9"/>
        <color theme="1"/>
        <rFont val="新細明體"/>
        <family val="1"/>
        <charset val="136"/>
        <scheme val="minor"/>
      </rPr>
      <t>g/m3</t>
    </r>
    <phoneticPr fontId="1" type="noConversion"/>
  </si>
  <si>
    <t>Rlv, s/m</t>
    <phoneticPr fontId="1" type="noConversion"/>
  </si>
  <si>
    <r>
      <t>Rlv.inc,</t>
    </r>
    <r>
      <rPr>
        <sz val="9"/>
        <color theme="1"/>
        <rFont val="新細明體"/>
        <family val="1"/>
        <charset val="136"/>
        <scheme val="minor"/>
      </rPr>
      <t>s/m</t>
    </r>
    <phoneticPr fontId="1" type="noConversion"/>
  </si>
  <si>
    <r>
      <t>Tr,</t>
    </r>
    <r>
      <rPr>
        <sz val="9"/>
        <color theme="1"/>
        <rFont val="新細明體"/>
        <family val="1"/>
        <charset val="136"/>
        <scheme val="minor"/>
      </rPr>
      <t>mg/(m3.s)</t>
    </r>
    <phoneticPr fontId="1" type="noConversion"/>
  </si>
  <si>
    <r>
      <t>Rav,</t>
    </r>
    <r>
      <rPr>
        <sz val="9"/>
        <color theme="1"/>
        <rFont val="新細明體"/>
        <family val="1"/>
        <charset val="136"/>
        <scheme val="minor"/>
      </rPr>
      <t>s/m</t>
    </r>
    <phoneticPr fontId="1" type="noConversion"/>
  </si>
  <si>
    <t>Vd,g/m3</t>
    <phoneticPr fontId="1" type="noConversion"/>
  </si>
  <si>
    <t>GTl</t>
    <phoneticPr fontId="1" type="noConversion"/>
  </si>
  <si>
    <t>Rc</t>
    <phoneticPr fontId="1" type="noConversion"/>
  </si>
  <si>
    <t>Pm</t>
    <phoneticPr fontId="1" type="noConversion"/>
  </si>
  <si>
    <t>4*Rc*Rho.ca*Pm</t>
    <phoneticPr fontId="1" type="noConversion"/>
  </si>
  <si>
    <t>Gc</t>
    <phoneticPr fontId="1" type="noConversion"/>
  </si>
  <si>
    <t>Assumption</t>
    <phoneticPr fontId="1" type="noConversion"/>
  </si>
  <si>
    <t>Pmax=</t>
    <phoneticPr fontId="1" type="noConversion"/>
  </si>
  <si>
    <t>Rd(20C)=</t>
    <phoneticPr fontId="1" type="noConversion"/>
  </si>
  <si>
    <t>Kc=</t>
    <phoneticPr fontId="1" type="noConversion"/>
  </si>
  <si>
    <t>B^2-4AC</t>
    <phoneticPr fontId="1" type="noConversion"/>
  </si>
  <si>
    <t>P=(B-sqrt(B^2-4AC))/2/A</t>
    <phoneticPr fontId="1" type="noConversion"/>
  </si>
  <si>
    <t>A is Rc</t>
    <phoneticPr fontId="1" type="noConversion"/>
  </si>
  <si>
    <t>PhotoResp/PhotoS.</t>
    <phoneticPr fontId="1" type="noConversion"/>
  </si>
  <si>
    <t>4*A*C</t>
    <phoneticPr fontId="1" type="noConversion"/>
  </si>
  <si>
    <t>-B=Rho.ca+Kc+Rc*Pm</t>
    <phoneticPr fontId="1" type="noConversion"/>
  </si>
  <si>
    <t>P 正解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</si>
  <si>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Pm=Pmax*Gtl*GI*Gc</t>
    </r>
    <r>
      <rPr>
        <sz val="12"/>
        <color theme="1"/>
        <rFont val="新細明體"/>
        <family val="2"/>
        <scheme val="minor"/>
      </rPr>
      <t>, in mg/m2/s</t>
    </r>
    <phoneticPr fontId="1" type="noConversion"/>
  </si>
  <si>
    <t>Dark Respiration</t>
    <phoneticPr fontId="1" type="noConversion"/>
  </si>
  <si>
    <t>P calculated</t>
    <phoneticPr fontId="1" type="noConversion"/>
  </si>
  <si>
    <t>P from original s/w</t>
    <phoneticPr fontId="1" type="noConversion"/>
  </si>
  <si>
    <r>
      <t>T,</t>
    </r>
    <r>
      <rPr>
        <vertAlign val="superscript"/>
        <sz val="12"/>
        <color theme="1"/>
        <rFont val="新細明體"/>
        <family val="1"/>
        <charset val="136"/>
        <scheme val="minor"/>
      </rPr>
      <t>o</t>
    </r>
    <r>
      <rPr>
        <sz val="12"/>
        <color theme="1"/>
        <rFont val="新細明體"/>
        <family val="2"/>
        <scheme val="minor"/>
      </rPr>
      <t>C</t>
    </r>
    <phoneticPr fontId="1" type="noConversion"/>
  </si>
  <si>
    <t>VPDa, kPa</t>
    <phoneticPr fontId="1" type="noConversion"/>
  </si>
  <si>
    <t>low</t>
    <phoneticPr fontId="1" type="noConversion"/>
  </si>
  <si>
    <t>std</t>
    <phoneticPr fontId="1" type="noConversion"/>
  </si>
  <si>
    <t>high due to light</t>
    <phoneticPr fontId="1" type="noConversion"/>
  </si>
  <si>
    <t>Due to CO2: std</t>
    <phoneticPr fontId="1" type="noConversion"/>
  </si>
  <si>
    <t>Due to CO2: low</t>
    <phoneticPr fontId="1" type="noConversion"/>
  </si>
  <si>
    <t>Chap. 7 to derive Tr, transpiration rate</t>
    <phoneticPr fontId="1" type="noConversion"/>
  </si>
  <si>
    <r>
      <t>Rd,</t>
    </r>
    <r>
      <rPr>
        <sz val="9"/>
        <color theme="1"/>
        <rFont val="新細明體"/>
        <family val="1"/>
        <charset val="136"/>
        <scheme val="minor"/>
      </rPr>
      <t>mg/(m2.s)</t>
    </r>
    <phoneticPr fontId="1" type="noConversion"/>
  </si>
  <si>
    <t>Ps(mg/m2/s)</t>
    <phoneticPr fontId="1" type="noConversion"/>
  </si>
  <si>
    <t>Rp(mg/m2/s)</t>
    <phoneticPr fontId="1" type="noConversion"/>
  </si>
  <si>
    <t>Pn(mg/m2/s)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</si>
</sst>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 "/>
    <numFmt numFmtId="178" formatCode="0.00_ "/>
    <numFmt numFmtId="179" formatCode="0.000000"/>
    <numFmt numFmtId="180" formatCode="0.000"/>
    <numFmt numFmtId="181" formatCode="0.0000"/>
    <numFmt numFmtId="182" formatCode="0.0000_ "/>
  </numFmts>
  <fonts count="1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000000"/>
      <name val="Century Gothic"/>
      <family val="2"/>
    </font>
    <font>
      <sz val="11"/>
      <color rgb="FF000000"/>
      <name val="Calibri"/>
      <family val="2"/>
    </font>
    <font>
      <u/>
      <sz val="12"/>
      <color theme="10"/>
      <name val="新細明體"/>
      <family val="2"/>
      <scheme val="minor"/>
    </font>
    <font>
      <vertAlign val="superscript"/>
      <sz val="12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scheme val="minor"/>
    </font>
    <font>
      <sz val="9"/>
      <color theme="1"/>
      <name val="新細明體"/>
      <family val="2"/>
      <scheme val="minor"/>
    </font>
    <font>
      <sz val="12"/>
      <name val="新細明體"/>
      <family val="2"/>
      <scheme val="minor"/>
    </font>
    <font>
      <sz val="12"/>
      <color theme="3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8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7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176" fontId="0" fillId="0" borderId="4" xfId="0" applyNumberFormat="1" applyBorder="1"/>
    <xf numFmtId="176" fontId="0" fillId="0" borderId="2" xfId="0" applyNumberFormat="1" applyBorder="1"/>
    <xf numFmtId="176" fontId="0" fillId="0" borderId="5" xfId="0" applyNumberFormat="1" applyBorder="1"/>
    <xf numFmtId="176" fontId="0" fillId="0" borderId="6" xfId="0" applyNumberFormat="1" applyBorder="1"/>
    <xf numFmtId="0" fontId="0" fillId="0" borderId="0" xfId="0" quotePrefix="1"/>
    <xf numFmtId="177" fontId="0" fillId="0" borderId="4" xfId="0" applyNumberFormat="1" applyBorder="1"/>
    <xf numFmtId="0" fontId="2" fillId="0" borderId="0" xfId="0" applyFont="1"/>
    <xf numFmtId="0" fontId="0" fillId="0" borderId="0" xfId="0" applyAlignment="1">
      <alignment horizontal="right"/>
    </xf>
    <xf numFmtId="176" fontId="0" fillId="0" borderId="7" xfId="0" applyNumberFormat="1" applyBorder="1"/>
    <xf numFmtId="176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0" xfId="0" applyBorder="1"/>
    <xf numFmtId="0" fontId="2" fillId="0" borderId="3" xfId="0" applyFont="1" applyBorder="1"/>
    <xf numFmtId="0" fontId="0" fillId="0" borderId="5" xfId="0" applyBorder="1" applyAlignment="1">
      <alignment horizontal="right"/>
    </xf>
    <xf numFmtId="0" fontId="0" fillId="0" borderId="0" xfId="0" applyFill="1"/>
    <xf numFmtId="176" fontId="0" fillId="0" borderId="0" xfId="0" applyNumberFormat="1" applyBorder="1"/>
    <xf numFmtId="0" fontId="0" fillId="0" borderId="9" xfId="0" applyBorder="1"/>
    <xf numFmtId="0" fontId="0" fillId="0" borderId="11" xfId="0" applyBorder="1"/>
    <xf numFmtId="2" fontId="0" fillId="0" borderId="0" xfId="0" applyNumberFormat="1" applyBorder="1"/>
    <xf numFmtId="0" fontId="0" fillId="0" borderId="4" xfId="0" quotePrefix="1" applyBorder="1"/>
    <xf numFmtId="177" fontId="0" fillId="0" borderId="0" xfId="0" applyNumberFormat="1" applyBorder="1"/>
    <xf numFmtId="177" fontId="0" fillId="0" borderId="2" xfId="0" applyNumberFormat="1" applyBorder="1"/>
    <xf numFmtId="0" fontId="0" fillId="0" borderId="10" xfId="0" applyBorder="1"/>
    <xf numFmtId="2" fontId="0" fillId="0" borderId="0" xfId="0" applyNumberFormat="1" applyFill="1"/>
    <xf numFmtId="0" fontId="0" fillId="0" borderId="8" xfId="0" applyBorder="1"/>
    <xf numFmtId="0" fontId="0" fillId="0" borderId="0" xfId="0" applyAlignment="1">
      <alignment horizontal="center"/>
    </xf>
    <xf numFmtId="179" fontId="0" fillId="0" borderId="0" xfId="0" applyNumberFormat="1" applyBorder="1"/>
    <xf numFmtId="1" fontId="0" fillId="0" borderId="10" xfId="0" applyNumberFormat="1" applyBorder="1"/>
    <xf numFmtId="0" fontId="0" fillId="2" borderId="2" xfId="0" applyFill="1" applyBorder="1"/>
    <xf numFmtId="0" fontId="0" fillId="0" borderId="0" xfId="0" applyBorder="1" applyAlignment="1">
      <alignment horizontal="center"/>
    </xf>
    <xf numFmtId="1" fontId="0" fillId="0" borderId="0" xfId="0" applyNumberFormat="1" applyBorder="1"/>
    <xf numFmtId="0" fontId="0" fillId="3" borderId="0" xfId="0" applyFill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78" fontId="0" fillId="0" borderId="0" xfId="0" applyNumberFormat="1" applyBorder="1"/>
    <xf numFmtId="0" fontId="0" fillId="0" borderId="3" xfId="0" applyFill="1" applyBorder="1" applyAlignment="1">
      <alignment horizontal="center"/>
    </xf>
    <xf numFmtId="0" fontId="2" fillId="0" borderId="8" xfId="0" applyFont="1" applyBorder="1"/>
    <xf numFmtId="0" fontId="0" fillId="3" borderId="8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78" fontId="0" fillId="0" borderId="20" xfId="0" applyNumberFormat="1" applyBorder="1"/>
    <xf numFmtId="178" fontId="0" fillId="0" borderId="21" xfId="0" applyNumberFormat="1" applyBorder="1"/>
    <xf numFmtId="178" fontId="0" fillId="0" borderId="22" xfId="0" applyNumberFormat="1" applyBorder="1"/>
    <xf numFmtId="178" fontId="0" fillId="0" borderId="23" xfId="0" applyNumberFormat="1" applyBorder="1"/>
    <xf numFmtId="178" fontId="0" fillId="0" borderId="24" xfId="0" applyNumberFormat="1" applyBorder="1"/>
    <xf numFmtId="2" fontId="0" fillId="0" borderId="18" xfId="0" applyNumberFormat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7" fontId="0" fillId="0" borderId="21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5" fillId="0" borderId="3" xfId="0" applyFont="1" applyBorder="1"/>
    <xf numFmtId="0" fontId="5" fillId="0" borderId="0" xfId="0" applyFont="1" applyBorder="1"/>
    <xf numFmtId="178" fontId="0" fillId="0" borderId="17" xfId="0" applyNumberFormat="1" applyBorder="1"/>
    <xf numFmtId="178" fontId="0" fillId="0" borderId="14" xfId="0" applyNumberFormat="1" applyBorder="1"/>
    <xf numFmtId="178" fontId="0" fillId="0" borderId="16" xfId="0" applyNumberFormat="1" applyBorder="1"/>
    <xf numFmtId="0" fontId="0" fillId="3" borderId="4" xfId="0" applyFill="1" applyBorder="1" applyAlignment="1">
      <alignment horizontal="right"/>
    </xf>
    <xf numFmtId="0" fontId="5" fillId="0" borderId="0" xfId="0" applyFont="1"/>
    <xf numFmtId="0" fontId="0" fillId="2" borderId="16" xfId="0" applyFill="1" applyBorder="1"/>
    <xf numFmtId="2" fontId="0" fillId="5" borderId="0" xfId="0" applyNumberFormat="1" applyFill="1"/>
    <xf numFmtId="2" fontId="5" fillId="5" borderId="0" xfId="0" applyNumberFormat="1" applyFont="1" applyFill="1" applyBorder="1"/>
    <xf numFmtId="0" fontId="5" fillId="5" borderId="0" xfId="0" applyFont="1" applyFill="1" applyBorder="1"/>
    <xf numFmtId="0" fontId="0" fillId="5" borderId="0" xfId="0" applyFill="1"/>
    <xf numFmtId="0" fontId="7" fillId="0" borderId="0" xfId="0" applyFont="1"/>
    <xf numFmtId="0" fontId="0" fillId="2" borderId="18" xfId="0" applyFill="1" applyBorder="1"/>
    <xf numFmtId="0" fontId="0" fillId="0" borderId="20" xfId="0" applyBorder="1"/>
    <xf numFmtId="0" fontId="0" fillId="2" borderId="0" xfId="0" applyFill="1" applyBorder="1"/>
    <xf numFmtId="0" fontId="0" fillId="0" borderId="21" xfId="0" applyBorder="1"/>
    <xf numFmtId="0" fontId="0" fillId="5" borderId="23" xfId="0" applyFill="1" applyBorder="1"/>
    <xf numFmtId="0" fontId="6" fillId="0" borderId="0" xfId="0" applyFont="1" applyAlignment="1">
      <alignment horizontal="left" vertical="center" readingOrder="1"/>
    </xf>
    <xf numFmtId="180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23" xfId="0" applyBorder="1" applyAlignment="1">
      <alignment horizontal="right"/>
    </xf>
    <xf numFmtId="2" fontId="0" fillId="0" borderId="21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22" xfId="0" applyBorder="1" applyAlignment="1">
      <alignment horizontal="right"/>
    </xf>
    <xf numFmtId="2" fontId="0" fillId="5" borderId="23" xfId="0" applyNumberFormat="1" applyFill="1" applyBorder="1"/>
    <xf numFmtId="0" fontId="0" fillId="2" borderId="0" xfId="0" applyFill="1" applyAlignment="1">
      <alignment horizontal="center"/>
    </xf>
    <xf numFmtId="176" fontId="0" fillId="0" borderId="24" xfId="0" applyNumberFormat="1" applyBorder="1"/>
    <xf numFmtId="0" fontId="0" fillId="2" borderId="19" xfId="0" applyFill="1" applyBorder="1"/>
    <xf numFmtId="0" fontId="0" fillId="2" borderId="23" xfId="0" applyFill="1" applyBorder="1"/>
    <xf numFmtId="0" fontId="0" fillId="3" borderId="17" xfId="0" applyFill="1" applyBorder="1"/>
    <xf numFmtId="0" fontId="0" fillId="3" borderId="2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/>
    <xf numFmtId="0" fontId="0" fillId="0" borderId="22" xfId="0" applyBorder="1" applyAlignment="1">
      <alignment horizontal="center"/>
    </xf>
    <xf numFmtId="0" fontId="0" fillId="0" borderId="25" xfId="0" applyBorder="1"/>
    <xf numFmtId="0" fontId="0" fillId="3" borderId="17" xfId="0" applyFill="1" applyBorder="1" applyAlignment="1">
      <alignment horizontal="center"/>
    </xf>
    <xf numFmtId="0" fontId="0" fillId="3" borderId="20" xfId="0" applyFill="1" applyBorder="1" applyAlignment="1">
      <alignment horizontal="right"/>
    </xf>
    <xf numFmtId="0" fontId="5" fillId="5" borderId="21" xfId="0" applyFont="1" applyFill="1" applyBorder="1"/>
    <xf numFmtId="0" fontId="0" fillId="3" borderId="22" xfId="0" applyFill="1" applyBorder="1" applyAlignment="1">
      <alignment horizontal="right"/>
    </xf>
    <xf numFmtId="2" fontId="0" fillId="5" borderId="13" xfId="0" applyNumberFormat="1" applyFill="1" applyBorder="1"/>
    <xf numFmtId="0" fontId="0" fillId="7" borderId="17" xfId="0" applyFill="1" applyBorder="1"/>
    <xf numFmtId="0" fontId="0" fillId="0" borderId="18" xfId="0" applyFill="1" applyBorder="1" applyAlignment="1">
      <alignment horizontal="center"/>
    </xf>
    <xf numFmtId="0" fontId="0" fillId="7" borderId="20" xfId="0" applyFill="1" applyBorder="1" applyAlignment="1">
      <alignment horizontal="right"/>
    </xf>
    <xf numFmtId="0" fontId="0" fillId="7" borderId="22" xfId="0" applyFill="1" applyBorder="1" applyAlignment="1">
      <alignment horizontal="right"/>
    </xf>
    <xf numFmtId="2" fontId="2" fillId="0" borderId="23" xfId="0" applyNumberFormat="1" applyFont="1" applyBorder="1"/>
    <xf numFmtId="0" fontId="0" fillId="2" borderId="21" xfId="0" applyFill="1" applyBorder="1"/>
    <xf numFmtId="0" fontId="0" fillId="5" borderId="24" xfId="0" applyFill="1" applyBorder="1"/>
    <xf numFmtId="2" fontId="0" fillId="5" borderId="19" xfId="0" applyNumberFormat="1" applyFill="1" applyBorder="1"/>
    <xf numFmtId="2" fontId="6" fillId="0" borderId="0" xfId="0" applyNumberFormat="1" applyFont="1" applyFill="1"/>
    <xf numFmtId="2" fontId="6" fillId="6" borderId="0" xfId="0" applyNumberFormat="1" applyFont="1" applyFill="1"/>
    <xf numFmtId="0" fontId="0" fillId="0" borderId="27" xfId="0" applyBorder="1" applyAlignment="1">
      <alignment horizontal="center"/>
    </xf>
    <xf numFmtId="0" fontId="4" fillId="0" borderId="12" xfId="0" applyFont="1" applyBorder="1"/>
    <xf numFmtId="0" fontId="0" fillId="0" borderId="28" xfId="0" applyBorder="1"/>
    <xf numFmtId="2" fontId="0" fillId="0" borderId="12" xfId="0" applyNumberFormat="1" applyBorder="1"/>
    <xf numFmtId="2" fontId="0" fillId="0" borderId="28" xfId="0" applyNumberFormat="1" applyBorder="1"/>
    <xf numFmtId="2" fontId="0" fillId="0" borderId="13" xfId="0" applyNumberFormat="1" applyBorder="1"/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right"/>
    </xf>
    <xf numFmtId="2" fontId="0" fillId="0" borderId="4" xfId="0" applyNumberFormat="1" applyBorder="1"/>
    <xf numFmtId="2" fontId="0" fillId="0" borderId="5" xfId="0" applyNumberFormat="1" applyBorder="1"/>
    <xf numFmtId="2" fontId="0" fillId="0" borderId="23" xfId="0" applyNumberFormat="1" applyFill="1" applyBorder="1"/>
    <xf numFmtId="0" fontId="0" fillId="2" borderId="28" xfId="0" applyFill="1" applyBorder="1"/>
    <xf numFmtId="0" fontId="0" fillId="0" borderId="28" xfId="0" applyBorder="1" applyAlignment="1">
      <alignment horizontal="right"/>
    </xf>
    <xf numFmtId="2" fontId="0" fillId="2" borderId="13" xfId="0" applyNumberFormat="1" applyFill="1" applyBorder="1"/>
    <xf numFmtId="0" fontId="5" fillId="0" borderId="0" xfId="0" applyFont="1" applyFill="1" applyBorder="1"/>
    <xf numFmtId="2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0" fillId="0" borderId="0" xfId="0" quotePrefix="1" applyBorder="1"/>
    <xf numFmtId="2" fontId="0" fillId="5" borderId="4" xfId="0" applyNumberFormat="1" applyFill="1" applyBorder="1"/>
    <xf numFmtId="176" fontId="0" fillId="0" borderId="2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2" fontId="0" fillId="0" borderId="0" xfId="0" applyNumberFormat="1" applyFill="1" applyBorder="1"/>
    <xf numFmtId="2" fontId="0" fillId="0" borderId="17" xfId="0" applyNumberFormat="1" applyBorder="1" applyAlignment="1">
      <alignment horizontal="center"/>
    </xf>
    <xf numFmtId="1" fontId="0" fillId="0" borderId="20" xfId="0" applyNumberFormat="1" applyFont="1" applyBorder="1"/>
    <xf numFmtId="1" fontId="0" fillId="0" borderId="22" xfId="0" applyNumberFormat="1" applyFont="1" applyFill="1" applyBorder="1"/>
    <xf numFmtId="0" fontId="8" fillId="0" borderId="19" xfId="1" applyBorder="1" applyAlignment="1">
      <alignment horizontal="center"/>
    </xf>
    <xf numFmtId="0" fontId="8" fillId="0" borderId="18" xfId="1" applyBorder="1"/>
    <xf numFmtId="0" fontId="0" fillId="0" borderId="4" xfId="0" applyBorder="1"/>
    <xf numFmtId="2" fontId="5" fillId="0" borderId="3" xfId="0" applyNumberFormat="1" applyFont="1" applyBorder="1"/>
    <xf numFmtId="2" fontId="2" fillId="0" borderId="6" xfId="0" applyNumberFormat="1" applyFont="1" applyBorder="1"/>
    <xf numFmtId="181" fontId="0" fillId="0" borderId="0" xfId="0" applyNumberFormat="1"/>
    <xf numFmtId="1" fontId="0" fillId="0" borderId="0" xfId="0" applyNumberFormat="1"/>
    <xf numFmtId="182" fontId="0" fillId="0" borderId="0" xfId="0" applyNumberFormat="1"/>
    <xf numFmtId="0" fontId="12" fillId="8" borderId="0" xfId="0" applyFont="1" applyFill="1"/>
    <xf numFmtId="0" fontId="11" fillId="8" borderId="0" xfId="0" applyFont="1" applyFill="1"/>
    <xf numFmtId="0" fontId="0" fillId="8" borderId="0" xfId="0" applyFill="1"/>
    <xf numFmtId="182" fontId="13" fillId="0" borderId="0" xfId="0" applyNumberFormat="1" applyFont="1"/>
    <xf numFmtId="181" fontId="0" fillId="2" borderId="18" xfId="0" applyNumberFormat="1" applyFill="1" applyBorder="1"/>
    <xf numFmtId="0" fontId="14" fillId="0" borderId="0" xfId="0" applyFont="1"/>
    <xf numFmtId="2" fontId="14" fillId="0" borderId="0" xfId="0" applyNumberFormat="1" applyFont="1"/>
    <xf numFmtId="1" fontId="14" fillId="0" borderId="0" xfId="0" applyNumberFormat="1" applyFont="1"/>
    <xf numFmtId="181" fontId="14" fillId="0" borderId="0" xfId="0" applyNumberFormat="1" applyFont="1"/>
    <xf numFmtId="182" fontId="15" fillId="0" borderId="0" xfId="0" applyNumberFormat="1" applyFont="1"/>
    <xf numFmtId="0" fontId="4" fillId="0" borderId="0" xfId="0" applyFont="1"/>
    <xf numFmtId="0" fontId="11" fillId="0" borderId="0" xfId="0" applyFont="1" applyBorder="1"/>
    <xf numFmtId="2" fontId="0" fillId="0" borderId="7" xfId="0" applyNumberFormat="1" applyBorder="1"/>
    <xf numFmtId="2" fontId="0" fillId="0" borderId="2" xfId="0" applyNumberFormat="1" applyBorder="1"/>
    <xf numFmtId="2" fontId="0" fillId="0" borderId="6" xfId="0" applyNumberFormat="1" applyBorder="1"/>
    <xf numFmtId="0" fontId="0" fillId="0" borderId="21" xfId="0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0" borderId="7" xfId="0" applyNumberFormat="1" applyFill="1" applyBorder="1"/>
    <xf numFmtId="0" fontId="0" fillId="2" borderId="7" xfId="0" applyFill="1" applyBorder="1"/>
    <xf numFmtId="0" fontId="0" fillId="0" borderId="5" xfId="0" applyBorder="1"/>
    <xf numFmtId="0" fontId="0" fillId="0" borderId="1" xfId="0" applyBorder="1"/>
    <xf numFmtId="2" fontId="0" fillId="0" borderId="6" xfId="0" applyNumberFormat="1" applyFill="1" applyBorder="1"/>
    <xf numFmtId="0" fontId="0" fillId="2" borderId="10" xfId="0" applyFill="1" applyBorder="1"/>
    <xf numFmtId="0" fontId="0" fillId="0" borderId="30" xfId="0" applyBorder="1"/>
    <xf numFmtId="181" fontId="0" fillId="2" borderId="10" xfId="0" applyNumberFormat="1" applyFill="1" applyBorder="1"/>
    <xf numFmtId="2" fontId="0" fillId="0" borderId="10" xfId="0" applyNumberFormat="1" applyFill="1" applyBorder="1"/>
    <xf numFmtId="0" fontId="5" fillId="0" borderId="17" xfId="0" applyFont="1" applyBorder="1"/>
    <xf numFmtId="0" fontId="0" fillId="0" borderId="13" xfId="0" applyBorder="1"/>
    <xf numFmtId="0" fontId="0" fillId="2" borderId="12" xfId="0" applyFill="1" applyBorder="1"/>
    <xf numFmtId="0" fontId="0" fillId="2" borderId="13" xfId="0" applyFill="1" applyBorder="1"/>
    <xf numFmtId="0" fontId="16" fillId="2" borderId="14" xfId="0" applyFont="1" applyFill="1" applyBorder="1" applyAlignment="1">
      <alignment horizontal="right"/>
    </xf>
    <xf numFmtId="0" fontId="16" fillId="2" borderId="16" xfId="0" applyFont="1" applyFill="1" applyBorder="1" applyAlignment="1">
      <alignment horizontal="right"/>
    </xf>
    <xf numFmtId="0" fontId="5" fillId="0" borderId="29" xfId="0" applyFont="1" applyBorder="1"/>
    <xf numFmtId="0" fontId="11" fillId="0" borderId="23" xfId="0" quotePrefix="1" applyFont="1" applyBorder="1"/>
    <xf numFmtId="0" fontId="16" fillId="2" borderId="0" xfId="0" applyFont="1" applyFill="1" applyBorder="1" applyAlignment="1">
      <alignment horizontal="right"/>
    </xf>
    <xf numFmtId="2" fontId="5" fillId="0" borderId="0" xfId="0" applyNumberFormat="1" applyFont="1" applyBorder="1"/>
    <xf numFmtId="0" fontId="16" fillId="2" borderId="23" xfId="0" applyFont="1" applyFill="1" applyBorder="1" applyAlignment="1">
      <alignment horizontal="right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69720734119354E-2"/>
          <c:y val="4.6705722948376251E-2"/>
          <c:w val="0.8076008621110129"/>
          <c:h val="0.8151677491991991"/>
        </c:manualLayout>
      </c:layout>
      <c:scatterChart>
        <c:scatterStyle val="lineMarker"/>
        <c:varyColors val="0"/>
        <c:ser>
          <c:idx val="0"/>
          <c:order val="0"/>
          <c:tx>
            <c:v>Transpiration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h_Simulation'!$P$3:$P$26</c:f>
              <c:numCache>
                <c:formatCode>0.00</c:formatCode>
                <c:ptCount val="24"/>
                <c:pt idx="0">
                  <c:v>0.66058040131049156</c:v>
                </c:pt>
                <c:pt idx="1">
                  <c:v>0.57265381974724539</c:v>
                </c:pt>
                <c:pt idx="2">
                  <c:v>0.33393536951747838</c:v>
                </c:pt>
                <c:pt idx="3">
                  <c:v>0.24859577727117771</c:v>
                </c:pt>
                <c:pt idx="4">
                  <c:v>0.20274946827118501</c:v>
                </c:pt>
                <c:pt idx="5">
                  <c:v>0.90809656614431444</c:v>
                </c:pt>
                <c:pt idx="6">
                  <c:v>4.4747914658443175</c:v>
                </c:pt>
                <c:pt idx="7">
                  <c:v>9.9964113596791275</c:v>
                </c:pt>
                <c:pt idx="8">
                  <c:v>13.344542411073251</c:v>
                </c:pt>
                <c:pt idx="9">
                  <c:v>16.069370235887636</c:v>
                </c:pt>
                <c:pt idx="10">
                  <c:v>21.095747356178723</c:v>
                </c:pt>
                <c:pt idx="11">
                  <c:v>24.650063462122759</c:v>
                </c:pt>
                <c:pt idx="12">
                  <c:v>25.811591209612548</c:v>
                </c:pt>
                <c:pt idx="13">
                  <c:v>26.812349730730013</c:v>
                </c:pt>
                <c:pt idx="14">
                  <c:v>23.240347946085826</c:v>
                </c:pt>
                <c:pt idx="15">
                  <c:v>22.880889190537943</c:v>
                </c:pt>
                <c:pt idx="16">
                  <c:v>15.576276110830737</c:v>
                </c:pt>
                <c:pt idx="17">
                  <c:v>11.54122586903633</c:v>
                </c:pt>
                <c:pt idx="18">
                  <c:v>3.0593935143548263</c:v>
                </c:pt>
                <c:pt idx="19">
                  <c:v>2.4073064586315298</c:v>
                </c:pt>
                <c:pt idx="20">
                  <c:v>2.1853528829758164</c:v>
                </c:pt>
                <c:pt idx="21">
                  <c:v>1.6990403073660336</c:v>
                </c:pt>
                <c:pt idx="22">
                  <c:v>1.5998393003382574</c:v>
                </c:pt>
                <c:pt idx="23">
                  <c:v>1.5017733241031266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47-44BC-A301-93DAA4B026AD}"/>
            </c:ext>
          </c:extLst>
        </c:ser>
        <c:ser>
          <c:idx val="1"/>
          <c:order val="1"/>
          <c:tx>
            <c:v>RH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h_Simulation'!$C$3:$C$26</c:f>
              <c:numCache>
                <c:formatCode>General</c:formatCode>
                <c:ptCount val="24"/>
                <c:pt idx="0">
                  <c:v>91</c:v>
                </c:pt>
                <c:pt idx="1">
                  <c:v>92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68</c:v>
                </c:pt>
                <c:pt idx="8">
                  <c:v>63</c:v>
                </c:pt>
                <c:pt idx="9">
                  <c:v>58</c:v>
                </c:pt>
                <c:pt idx="10">
                  <c:v>48</c:v>
                </c:pt>
                <c:pt idx="11">
                  <c:v>43</c:v>
                </c:pt>
                <c:pt idx="12">
                  <c:v>41</c:v>
                </c:pt>
                <c:pt idx="13">
                  <c:v>38</c:v>
                </c:pt>
                <c:pt idx="14">
                  <c:v>45</c:v>
                </c:pt>
                <c:pt idx="15">
                  <c:v>48</c:v>
                </c:pt>
                <c:pt idx="16">
                  <c:v>60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77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47-44BC-A301-93DAA4B0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57536"/>
        <c:axId val="-1091665152"/>
      </c:scatterChart>
      <c:scatterChart>
        <c:scatterStyle val="lineMarker"/>
        <c:varyColors val="0"/>
        <c:ser>
          <c:idx val="2"/>
          <c:order val="2"/>
          <c:tx>
            <c:v>VPDa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h_Simulation'!$E$3:$E$26</c:f>
              <c:numCache>
                <c:formatCode>0.0000</c:formatCode>
                <c:ptCount val="24"/>
                <c:pt idx="0">
                  <c:v>0.12456183921535328</c:v>
                </c:pt>
                <c:pt idx="1">
                  <c:v>0.10783070793282448</c:v>
                </c:pt>
                <c:pt idx="2">
                  <c:v>6.2637762198090502E-2</c:v>
                </c:pt>
                <c:pt idx="3">
                  <c:v>4.7813811627040619E-2</c:v>
                </c:pt>
                <c:pt idx="4">
                  <c:v>3.7083289546683093E-2</c:v>
                </c:pt>
                <c:pt idx="5">
                  <c:v>7.9807743073610771E-2</c:v>
                </c:pt>
                <c:pt idx="6">
                  <c:v>0.25626186081397134</c:v>
                </c:pt>
                <c:pt idx="7">
                  <c:v>0.57809491786661782</c:v>
                </c:pt>
                <c:pt idx="8">
                  <c:v>0.77817699718536071</c:v>
                </c:pt>
                <c:pt idx="9">
                  <c:v>0.94032127493021445</c:v>
                </c:pt>
                <c:pt idx="10">
                  <c:v>1.2387154416982895</c:v>
                </c:pt>
                <c:pt idx="11">
                  <c:v>1.4529130810058217</c:v>
                </c:pt>
                <c:pt idx="12">
                  <c:v>1.5224217009399676</c:v>
                </c:pt>
                <c:pt idx="13">
                  <c:v>1.5803615968835252</c:v>
                </c:pt>
                <c:pt idx="14">
                  <c:v>1.3679385008227616</c:v>
                </c:pt>
                <c:pt idx="15">
                  <c:v>1.3500266003301014</c:v>
                </c:pt>
                <c:pt idx="16">
                  <c:v>0.91241240927214062</c:v>
                </c:pt>
                <c:pt idx="17">
                  <c:v>0.67301794351166322</c:v>
                </c:pt>
                <c:pt idx="18">
                  <c:v>0.55996693696566202</c:v>
                </c:pt>
                <c:pt idx="19">
                  <c:v>0.46208500981795919</c:v>
                </c:pt>
                <c:pt idx="20">
                  <c:v>0.41817000729429987</c:v>
                </c:pt>
                <c:pt idx="21">
                  <c:v>0.3239828388599893</c:v>
                </c:pt>
                <c:pt idx="22">
                  <c:v>0.30496024935303373</c:v>
                </c:pt>
                <c:pt idx="23">
                  <c:v>0.2861671510742535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70-4D2D-9FEC-AD76FED7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608912"/>
        <c:axId val="1356624720"/>
      </c:scatterChart>
      <c:valAx>
        <c:axId val="-1091657536"/>
        <c:scaling>
          <c:orientation val="minMax"/>
          <c:max val="2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Time (00:00 ~ 24:00))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65152"/>
        <c:crosses val="autoZero"/>
        <c:crossBetween val="midCat"/>
        <c:majorUnit val="4"/>
      </c:valAx>
      <c:valAx>
        <c:axId val="-10916651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Transpiration</a:t>
                </a:r>
                <a:r>
                  <a:rPr lang="en-US" altLang="zh-TW" sz="1200" baseline="0"/>
                  <a:t> rate, in mg/m2/s  and RH, %</a:t>
                </a:r>
                <a:endParaRPr lang="zh-TW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57536"/>
        <c:crosses val="autoZero"/>
        <c:crossBetween val="midCat"/>
      </c:valAx>
      <c:valAx>
        <c:axId val="1356624720"/>
        <c:scaling>
          <c:orientation val="minMax"/>
          <c:max val="7.5"/>
        </c:scaling>
        <c:delete val="0"/>
        <c:axPos val="r"/>
        <c:numFmt formatCode="#,##0.0_);[Red]\(#,##0.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56608912"/>
        <c:crosses val="max"/>
        <c:crossBetween val="midCat"/>
      </c:valAx>
      <c:valAx>
        <c:axId val="135660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662472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48002850105072409"/>
          <c:y val="9.8711419943981263E-2"/>
          <c:w val="0.16420157789718484"/>
          <c:h val="0.25355848749111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51594023569893E-2"/>
          <c:y val="3.672217401578922E-2"/>
          <c:w val="0.85522691939419526"/>
          <c:h val="0.81504273782864967"/>
        </c:manualLayout>
      </c:layout>
      <c:scatterChart>
        <c:scatterStyle val="lineMarker"/>
        <c:varyColors val="0"/>
        <c:ser>
          <c:idx val="0"/>
          <c:order val="0"/>
          <c:tx>
            <c:v>Tair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h_Simulation'!$B$3:$B$26</c:f>
              <c:numCache>
                <c:formatCode>General</c:formatCode>
                <c:ptCount val="24"/>
                <c:pt idx="0">
                  <c:v>11.8</c:v>
                </c:pt>
                <c:pt idx="1">
                  <c:v>11.4</c:v>
                </c:pt>
                <c:pt idx="2">
                  <c:v>10.3</c:v>
                </c:pt>
                <c:pt idx="3">
                  <c:v>9.6</c:v>
                </c:pt>
                <c:pt idx="4">
                  <c:v>10.1</c:v>
                </c:pt>
                <c:pt idx="5">
                  <c:v>11.2</c:v>
                </c:pt>
                <c:pt idx="6">
                  <c:v>13.1</c:v>
                </c:pt>
                <c:pt idx="7">
                  <c:v>15.9</c:v>
                </c:pt>
                <c:pt idx="8">
                  <c:v>18.3</c:v>
                </c:pt>
                <c:pt idx="9">
                  <c:v>19.3</c:v>
                </c:pt>
                <c:pt idx="10">
                  <c:v>20.3</c:v>
                </c:pt>
                <c:pt idx="11">
                  <c:v>21.4</c:v>
                </c:pt>
                <c:pt idx="12">
                  <c:v>21.6</c:v>
                </c:pt>
                <c:pt idx="13">
                  <c:v>21.4</c:v>
                </c:pt>
                <c:pt idx="14">
                  <c:v>21</c:v>
                </c:pt>
                <c:pt idx="15">
                  <c:v>21.7</c:v>
                </c:pt>
                <c:pt idx="16">
                  <c:v>19.600000000000001</c:v>
                </c:pt>
                <c:pt idx="17">
                  <c:v>18.3</c:v>
                </c:pt>
                <c:pt idx="18">
                  <c:v>17.5</c:v>
                </c:pt>
                <c:pt idx="19">
                  <c:v>16.899999999999999</c:v>
                </c:pt>
                <c:pt idx="20">
                  <c:v>16</c:v>
                </c:pt>
                <c:pt idx="21">
                  <c:v>15</c:v>
                </c:pt>
                <c:pt idx="22">
                  <c:v>14.9</c:v>
                </c:pt>
                <c:pt idx="23">
                  <c:v>14.8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CF-4B4A-A710-A39F1289089A}"/>
            </c:ext>
          </c:extLst>
        </c:ser>
        <c:ser>
          <c:idx val="1"/>
          <c:order val="1"/>
          <c:tx>
            <c:v>RH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h_Simulation'!$C$3:$C$26</c:f>
              <c:numCache>
                <c:formatCode>General</c:formatCode>
                <c:ptCount val="24"/>
                <c:pt idx="0">
                  <c:v>91</c:v>
                </c:pt>
                <c:pt idx="1">
                  <c:v>92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68</c:v>
                </c:pt>
                <c:pt idx="8">
                  <c:v>63</c:v>
                </c:pt>
                <c:pt idx="9">
                  <c:v>58</c:v>
                </c:pt>
                <c:pt idx="10">
                  <c:v>48</c:v>
                </c:pt>
                <c:pt idx="11">
                  <c:v>43</c:v>
                </c:pt>
                <c:pt idx="12">
                  <c:v>41</c:v>
                </c:pt>
                <c:pt idx="13">
                  <c:v>38</c:v>
                </c:pt>
                <c:pt idx="14">
                  <c:v>45</c:v>
                </c:pt>
                <c:pt idx="15">
                  <c:v>48</c:v>
                </c:pt>
                <c:pt idx="16">
                  <c:v>60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77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CF-4B4A-A710-A39F12890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55360"/>
        <c:axId val="-1091670592"/>
      </c:scatterChart>
      <c:scatterChart>
        <c:scatterStyle val="lineMarker"/>
        <c:varyColors val="0"/>
        <c:ser>
          <c:idx val="2"/>
          <c:order val="2"/>
          <c:tx>
            <c:v>PAR (W/m2)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h_Simulation'!$H$4:$H$26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2.7777777777777777</c:v>
                </c:pt>
                <c:pt idx="4">
                  <c:v>61.111111111111114</c:v>
                </c:pt>
                <c:pt idx="5">
                  <c:v>183.33333333333334</c:v>
                </c:pt>
                <c:pt idx="6">
                  <c:v>461.11111111111109</c:v>
                </c:pt>
                <c:pt idx="7">
                  <c:v>658.33333333333337</c:v>
                </c:pt>
                <c:pt idx="8">
                  <c:v>813.88888888888891</c:v>
                </c:pt>
                <c:pt idx="9">
                  <c:v>858.33333333333337</c:v>
                </c:pt>
                <c:pt idx="10">
                  <c:v>908.33333333333337</c:v>
                </c:pt>
                <c:pt idx="11">
                  <c:v>855.55555555555554</c:v>
                </c:pt>
                <c:pt idx="12">
                  <c:v>772.22222222222217</c:v>
                </c:pt>
                <c:pt idx="13">
                  <c:v>569.44444444444434</c:v>
                </c:pt>
                <c:pt idx="14">
                  <c:v>444.44444444444446</c:v>
                </c:pt>
                <c:pt idx="15">
                  <c:v>286.11111111111109</c:v>
                </c:pt>
                <c:pt idx="16">
                  <c:v>102.77777777777777</c:v>
                </c:pt>
                <c:pt idx="17">
                  <c:v>5.5555555555555554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CF-4B4A-A710-A39F12890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62432"/>
        <c:axId val="-1091668960"/>
      </c:scatterChart>
      <c:valAx>
        <c:axId val="-1091655360"/>
        <c:scaling>
          <c:orientation val="minMax"/>
          <c:max val="2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Time (00:00 ~ 24:00)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70592"/>
        <c:crosses val="autoZero"/>
        <c:crossBetween val="midCat"/>
      </c:valAx>
      <c:valAx>
        <c:axId val="-10916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Tair in deg.C</a:t>
                </a:r>
                <a:r>
                  <a:rPr lang="en-US" altLang="zh-TW" baseline="0"/>
                  <a:t> and RH, %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55360"/>
        <c:crosses val="autoZero"/>
        <c:crossBetween val="midCat"/>
      </c:valAx>
      <c:valAx>
        <c:axId val="-1091668960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62432"/>
        <c:crosses val="max"/>
        <c:crossBetween val="midCat"/>
      </c:valAx>
      <c:valAx>
        <c:axId val="-109166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9166896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56047804428846026"/>
          <c:y val="0.15276691095607239"/>
          <c:w val="0.11246714622027965"/>
          <c:h val="0.1710601337262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92192225072536E-2"/>
          <c:y val="3.0045415103827543E-2"/>
          <c:w val="0.79126196318084707"/>
          <c:h val="0.81504273782864967"/>
        </c:manualLayout>
      </c:layout>
      <c:scatterChart>
        <c:scatterStyle val="lineMarker"/>
        <c:varyColors val="0"/>
        <c:ser>
          <c:idx val="1"/>
          <c:order val="0"/>
          <c:tx>
            <c:strRef>
              <c:f>'Pn_24 h_Simulation'!$P$2</c:f>
              <c:strCache>
                <c:ptCount val="1"/>
                <c:pt idx="0">
                  <c:v>Tr,mg/(m3.s)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h_Simulation'!$P$3:$P$26</c:f>
              <c:numCache>
                <c:formatCode>0.00</c:formatCode>
                <c:ptCount val="24"/>
                <c:pt idx="0">
                  <c:v>0.66058040131049156</c:v>
                </c:pt>
                <c:pt idx="1">
                  <c:v>0.57265381974724539</c:v>
                </c:pt>
                <c:pt idx="2">
                  <c:v>0.33393536951747838</c:v>
                </c:pt>
                <c:pt idx="3">
                  <c:v>0.24859577727117771</c:v>
                </c:pt>
                <c:pt idx="4">
                  <c:v>0.20274946827118501</c:v>
                </c:pt>
                <c:pt idx="5">
                  <c:v>0.90809656614431444</c:v>
                </c:pt>
                <c:pt idx="6">
                  <c:v>4.4747914658443175</c:v>
                </c:pt>
                <c:pt idx="7">
                  <c:v>9.9964113596791275</c:v>
                </c:pt>
                <c:pt idx="8">
                  <c:v>13.344542411073251</c:v>
                </c:pt>
                <c:pt idx="9">
                  <c:v>16.069370235887636</c:v>
                </c:pt>
                <c:pt idx="10">
                  <c:v>21.095747356178723</c:v>
                </c:pt>
                <c:pt idx="11">
                  <c:v>24.650063462122759</c:v>
                </c:pt>
                <c:pt idx="12">
                  <c:v>25.811591209612548</c:v>
                </c:pt>
                <c:pt idx="13">
                  <c:v>26.812349730730013</c:v>
                </c:pt>
                <c:pt idx="14">
                  <c:v>23.240347946085826</c:v>
                </c:pt>
                <c:pt idx="15">
                  <c:v>22.880889190537943</c:v>
                </c:pt>
                <c:pt idx="16">
                  <c:v>15.576276110830737</c:v>
                </c:pt>
                <c:pt idx="17">
                  <c:v>11.54122586903633</c:v>
                </c:pt>
                <c:pt idx="18">
                  <c:v>3.0593935143548263</c:v>
                </c:pt>
                <c:pt idx="19">
                  <c:v>2.4073064586315298</c:v>
                </c:pt>
                <c:pt idx="20">
                  <c:v>2.1853528829758164</c:v>
                </c:pt>
                <c:pt idx="21">
                  <c:v>1.6990403073660336</c:v>
                </c:pt>
                <c:pt idx="22">
                  <c:v>1.5998393003382574</c:v>
                </c:pt>
                <c:pt idx="23">
                  <c:v>1.5017733241031266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E9-4E78-9ACF-732D1CA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55360"/>
        <c:axId val="-1091670592"/>
      </c:scatterChart>
      <c:scatterChart>
        <c:scatterStyle val="lineMarker"/>
        <c:varyColors val="0"/>
        <c:ser>
          <c:idx val="2"/>
          <c:order val="1"/>
          <c:tx>
            <c:v>PAR,W/m2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h_Simulation'!$H$4:$H$26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2.7777777777777777</c:v>
                </c:pt>
                <c:pt idx="4">
                  <c:v>61.111111111111114</c:v>
                </c:pt>
                <c:pt idx="5">
                  <c:v>183.33333333333334</c:v>
                </c:pt>
                <c:pt idx="6">
                  <c:v>461.11111111111109</c:v>
                </c:pt>
                <c:pt idx="7">
                  <c:v>658.33333333333337</c:v>
                </c:pt>
                <c:pt idx="8">
                  <c:v>813.88888888888891</c:v>
                </c:pt>
                <c:pt idx="9">
                  <c:v>858.33333333333337</c:v>
                </c:pt>
                <c:pt idx="10">
                  <c:v>908.33333333333337</c:v>
                </c:pt>
                <c:pt idx="11">
                  <c:v>855.55555555555554</c:v>
                </c:pt>
                <c:pt idx="12">
                  <c:v>772.22222222222217</c:v>
                </c:pt>
                <c:pt idx="13">
                  <c:v>569.44444444444434</c:v>
                </c:pt>
                <c:pt idx="14">
                  <c:v>444.44444444444446</c:v>
                </c:pt>
                <c:pt idx="15">
                  <c:v>286.11111111111109</c:v>
                </c:pt>
                <c:pt idx="16">
                  <c:v>102.77777777777777</c:v>
                </c:pt>
                <c:pt idx="17">
                  <c:v>5.5555555555555554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E9-4E78-9ACF-732D1CA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62432"/>
        <c:axId val="-1091668960"/>
      </c:scatterChart>
      <c:valAx>
        <c:axId val="-1091655360"/>
        <c:scaling>
          <c:orientation val="minMax"/>
          <c:max val="2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Time (00:00 ~ 24:00)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70592"/>
        <c:crosses val="autoZero"/>
        <c:crossBetween val="midCat"/>
        <c:majorUnit val="4"/>
      </c:valAx>
      <c:valAx>
        <c:axId val="-10916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600" b="1"/>
                  <a:t>Transpiration,</a:t>
                </a:r>
                <a:r>
                  <a:rPr lang="en-US" altLang="zh-TW" sz="1600" b="1" baseline="0"/>
                  <a:t> mg/(m3.s)</a:t>
                </a:r>
                <a:endParaRPr lang="en-US" altLang="zh-TW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55360"/>
        <c:crosses val="autoZero"/>
        <c:crossBetween val="midCat"/>
      </c:valAx>
      <c:valAx>
        <c:axId val="-1091668960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62432"/>
        <c:crosses val="max"/>
        <c:crossBetween val="midCat"/>
      </c:valAx>
      <c:valAx>
        <c:axId val="-109166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9166896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1482822914868027"/>
          <c:y val="8.266090397532648E-2"/>
          <c:w val="0.15974561615096342"/>
          <c:h val="0.1710601337262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92192225072536E-2"/>
          <c:y val="6.7429481991282875E-2"/>
          <c:w val="0.79126196318084707"/>
          <c:h val="0.81504273782864967"/>
        </c:manualLayout>
      </c:layout>
      <c:scatterChart>
        <c:scatterStyle val="lineMarker"/>
        <c:varyColors val="0"/>
        <c:ser>
          <c:idx val="1"/>
          <c:order val="1"/>
          <c:tx>
            <c:strRef>
              <c:f>'Pn_24 h_Simulation'!$P$2</c:f>
              <c:strCache>
                <c:ptCount val="1"/>
                <c:pt idx="0">
                  <c:v>Tr,mg/(m3.s)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h_Simulation'!$P$3:$P$26</c:f>
              <c:numCache>
                <c:formatCode>0.00</c:formatCode>
                <c:ptCount val="24"/>
                <c:pt idx="0">
                  <c:v>0.66058040131049156</c:v>
                </c:pt>
                <c:pt idx="1">
                  <c:v>0.57265381974724539</c:v>
                </c:pt>
                <c:pt idx="2">
                  <c:v>0.33393536951747838</c:v>
                </c:pt>
                <c:pt idx="3">
                  <c:v>0.24859577727117771</c:v>
                </c:pt>
                <c:pt idx="4">
                  <c:v>0.20274946827118501</c:v>
                </c:pt>
                <c:pt idx="5">
                  <c:v>0.90809656614431444</c:v>
                </c:pt>
                <c:pt idx="6">
                  <c:v>4.4747914658443175</c:v>
                </c:pt>
                <c:pt idx="7">
                  <c:v>9.9964113596791275</c:v>
                </c:pt>
                <c:pt idx="8">
                  <c:v>13.344542411073251</c:v>
                </c:pt>
                <c:pt idx="9">
                  <c:v>16.069370235887636</c:v>
                </c:pt>
                <c:pt idx="10">
                  <c:v>21.095747356178723</c:v>
                </c:pt>
                <c:pt idx="11">
                  <c:v>24.650063462122759</c:v>
                </c:pt>
                <c:pt idx="12">
                  <c:v>25.811591209612548</c:v>
                </c:pt>
                <c:pt idx="13">
                  <c:v>26.812349730730013</c:v>
                </c:pt>
                <c:pt idx="14">
                  <c:v>23.240347946085826</c:v>
                </c:pt>
                <c:pt idx="15">
                  <c:v>22.880889190537943</c:v>
                </c:pt>
                <c:pt idx="16">
                  <c:v>15.576276110830737</c:v>
                </c:pt>
                <c:pt idx="17">
                  <c:v>11.54122586903633</c:v>
                </c:pt>
                <c:pt idx="18">
                  <c:v>3.0593935143548263</c:v>
                </c:pt>
                <c:pt idx="19">
                  <c:v>2.4073064586315298</c:v>
                </c:pt>
                <c:pt idx="20">
                  <c:v>2.1853528829758164</c:v>
                </c:pt>
                <c:pt idx="21">
                  <c:v>1.6990403073660336</c:v>
                </c:pt>
                <c:pt idx="22">
                  <c:v>1.5998393003382574</c:v>
                </c:pt>
                <c:pt idx="23">
                  <c:v>1.5017733241031266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98-40C5-92FC-C175C604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807232"/>
        <c:axId val="1368805152"/>
      </c:scatterChart>
      <c:scatterChart>
        <c:scatterStyle val="lineMarker"/>
        <c:varyColors val="0"/>
        <c:ser>
          <c:idx val="0"/>
          <c:order val="0"/>
          <c:tx>
            <c:strRef>
              <c:f>'Pn_24 h_Simulation'!$E$2</c:f>
              <c:strCache>
                <c:ptCount val="1"/>
                <c:pt idx="0">
                  <c:v>VPDa, kPa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h_Simulation'!$E$3:$E$26</c:f>
              <c:numCache>
                <c:formatCode>0.0000</c:formatCode>
                <c:ptCount val="24"/>
                <c:pt idx="0">
                  <c:v>0.12456183921535328</c:v>
                </c:pt>
                <c:pt idx="1">
                  <c:v>0.10783070793282448</c:v>
                </c:pt>
                <c:pt idx="2">
                  <c:v>6.2637762198090502E-2</c:v>
                </c:pt>
                <c:pt idx="3">
                  <c:v>4.7813811627040619E-2</c:v>
                </c:pt>
                <c:pt idx="4">
                  <c:v>3.7083289546683093E-2</c:v>
                </c:pt>
                <c:pt idx="5">
                  <c:v>7.9807743073610771E-2</c:v>
                </c:pt>
                <c:pt idx="6">
                  <c:v>0.25626186081397134</c:v>
                </c:pt>
                <c:pt idx="7">
                  <c:v>0.57809491786661782</c:v>
                </c:pt>
                <c:pt idx="8">
                  <c:v>0.77817699718536071</c:v>
                </c:pt>
                <c:pt idx="9">
                  <c:v>0.94032127493021445</c:v>
                </c:pt>
                <c:pt idx="10">
                  <c:v>1.2387154416982895</c:v>
                </c:pt>
                <c:pt idx="11">
                  <c:v>1.4529130810058217</c:v>
                </c:pt>
                <c:pt idx="12">
                  <c:v>1.5224217009399676</c:v>
                </c:pt>
                <c:pt idx="13">
                  <c:v>1.5803615968835252</c:v>
                </c:pt>
                <c:pt idx="14">
                  <c:v>1.3679385008227616</c:v>
                </c:pt>
                <c:pt idx="15">
                  <c:v>1.3500266003301014</c:v>
                </c:pt>
                <c:pt idx="16">
                  <c:v>0.91241240927214062</c:v>
                </c:pt>
                <c:pt idx="17">
                  <c:v>0.67301794351166322</c:v>
                </c:pt>
                <c:pt idx="18">
                  <c:v>0.55996693696566202</c:v>
                </c:pt>
                <c:pt idx="19">
                  <c:v>0.46208500981795919</c:v>
                </c:pt>
                <c:pt idx="20">
                  <c:v>0.41817000729429987</c:v>
                </c:pt>
                <c:pt idx="21">
                  <c:v>0.3239828388599893</c:v>
                </c:pt>
                <c:pt idx="22">
                  <c:v>0.30496024935303373</c:v>
                </c:pt>
                <c:pt idx="23">
                  <c:v>0.2861671510742535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98-40C5-92FC-C175C604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825536"/>
        <c:axId val="1368827200"/>
      </c:scatterChart>
      <c:valAx>
        <c:axId val="13688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400" b="1"/>
                  <a:t>Transpiration, mg/(m3.s)</a:t>
                </a:r>
                <a:endParaRPr lang="zh-TW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8807232"/>
        <c:crosses val="autoZero"/>
        <c:crossBetween val="midCat"/>
      </c:valAx>
      <c:valAx>
        <c:axId val="1368807232"/>
        <c:scaling>
          <c:orientation val="minMax"/>
          <c:max val="2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400" b="1"/>
                  <a:t>Time (00:00~24:00)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8805152"/>
        <c:crosses val="autoZero"/>
        <c:crossBetween val="midCat"/>
        <c:majorUnit val="4"/>
      </c:valAx>
      <c:valAx>
        <c:axId val="13688272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400" b="1"/>
                  <a:t>VPDa, 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#,##0.00_);[Red]\(#,##0.0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8825536"/>
        <c:crosses val="max"/>
        <c:crossBetween val="midCat"/>
      </c:valAx>
      <c:valAx>
        <c:axId val="13688255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68827200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82822914868027"/>
          <c:y val="8.266090397532648E-2"/>
          <c:w val="0.15974561615096342"/>
          <c:h val="0.1710601337262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17611992545846E-2"/>
          <c:y val="5.7442013232149543E-2"/>
          <c:w val="0.91759615217517154"/>
          <c:h val="0.73550174494415832"/>
        </c:manualLayout>
      </c:layout>
      <c:scatterChart>
        <c:scatterStyle val="lineMarker"/>
        <c:varyColors val="0"/>
        <c:ser>
          <c:idx val="3"/>
          <c:order val="0"/>
          <c:tx>
            <c:strRef>
              <c:f>'Pn_24 h_Simulation'!$AD$2</c:f>
              <c:strCache>
                <c:ptCount val="1"/>
                <c:pt idx="0">
                  <c:v>Ps(mg/m2/s)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h_Simulation'!$AD$3:$AD$26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7.7118956919042993E-3</c:v>
                </c:pt>
                <c:pt idx="5">
                  <c:v>0.13909969934284486</c:v>
                </c:pt>
                <c:pt idx="6">
                  <c:v>0.32384134161043882</c:v>
                </c:pt>
                <c:pt idx="7">
                  <c:v>0.52128775035694475</c:v>
                </c:pt>
                <c:pt idx="8">
                  <c:v>0.61299846255526291</c:v>
                </c:pt>
                <c:pt idx="9">
                  <c:v>0.65000431698848149</c:v>
                </c:pt>
                <c:pt idx="10">
                  <c:v>0.66999628154720092</c:v>
                </c:pt>
                <c:pt idx="11">
                  <c:v>0.68843138881656007</c:v>
                </c:pt>
                <c:pt idx="12">
                  <c:v>0.68614261795929299</c:v>
                </c:pt>
                <c:pt idx="13">
                  <c:v>0.67569545027277034</c:v>
                </c:pt>
                <c:pt idx="14">
                  <c:v>0.6421137991990995</c:v>
                </c:pt>
                <c:pt idx="15">
                  <c:v>0.62145278383808755</c:v>
                </c:pt>
                <c:pt idx="16">
                  <c:v>0.53070642370622145</c:v>
                </c:pt>
                <c:pt idx="17">
                  <c:v>0.32501779659990726</c:v>
                </c:pt>
                <c:pt idx="18">
                  <c:v>2.72935380315509E-2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9F-43C6-A87A-FC96EA048C86}"/>
            </c:ext>
          </c:extLst>
        </c:ser>
        <c:ser>
          <c:idx val="0"/>
          <c:order val="1"/>
          <c:tx>
            <c:strRef>
              <c:f>'Pn_24 h_Simulation'!$AF$2</c:f>
              <c:strCache>
                <c:ptCount val="1"/>
                <c:pt idx="0">
                  <c:v>Rp(mg/m2/s)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h_Simulation'!$AF$3:$AF$26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2.5706318973014331E-3</c:v>
                </c:pt>
                <c:pt idx="5">
                  <c:v>4.636656644761495E-2</c:v>
                </c:pt>
                <c:pt idx="6">
                  <c:v>0.10794711387014627</c:v>
                </c:pt>
                <c:pt idx="7">
                  <c:v>0.17376258345231491</c:v>
                </c:pt>
                <c:pt idx="8">
                  <c:v>0.2043328208517543</c:v>
                </c:pt>
                <c:pt idx="9">
                  <c:v>0.21666810566282715</c:v>
                </c:pt>
                <c:pt idx="10">
                  <c:v>0.22333209384906696</c:v>
                </c:pt>
                <c:pt idx="11">
                  <c:v>0.22947712960552002</c:v>
                </c:pt>
                <c:pt idx="12">
                  <c:v>0.228714205986431</c:v>
                </c:pt>
                <c:pt idx="13">
                  <c:v>0.2252318167575901</c:v>
                </c:pt>
                <c:pt idx="14">
                  <c:v>0.21403793306636648</c:v>
                </c:pt>
                <c:pt idx="15">
                  <c:v>0.20715092794602918</c:v>
                </c:pt>
                <c:pt idx="16">
                  <c:v>0.17690214123540715</c:v>
                </c:pt>
                <c:pt idx="17">
                  <c:v>0.10833926553330242</c:v>
                </c:pt>
                <c:pt idx="18">
                  <c:v>9.0978460105169655E-3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9F-43C6-A87A-FC96EA048C86}"/>
            </c:ext>
          </c:extLst>
        </c:ser>
        <c:ser>
          <c:idx val="1"/>
          <c:order val="2"/>
          <c:tx>
            <c:strRef>
              <c:f>'Pn_24 h_Simulation'!$U$1</c:f>
              <c:strCache>
                <c:ptCount val="1"/>
                <c:pt idx="0">
                  <c:v>Dark Respiration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h_Simulation'!$U$3:$U$26</c:f>
              <c:numCache>
                <c:formatCode>0.0000</c:formatCode>
                <c:ptCount val="24"/>
                <c:pt idx="0">
                  <c:v>3.965093598535295E-2</c:v>
                </c:pt>
                <c:pt idx="1">
                  <c:v>3.8566679055681376E-2</c:v>
                </c:pt>
                <c:pt idx="2">
                  <c:v>3.5735424399751768E-2</c:v>
                </c:pt>
                <c:pt idx="3">
                  <c:v>3.404292315943E-2</c:v>
                </c:pt>
                <c:pt idx="4">
                  <c:v>3.5243444251985168E-2</c:v>
                </c:pt>
                <c:pt idx="5">
                  <c:v>3.8035720188412031E-2</c:v>
                </c:pt>
                <c:pt idx="6">
                  <c:v>4.3389769497864529E-2</c:v>
                </c:pt>
                <c:pt idx="7">
                  <c:v>5.2683636159387363E-2</c:v>
                </c:pt>
                <c:pt idx="8">
                  <c:v>6.2218987681659919E-2</c:v>
                </c:pt>
                <c:pt idx="9">
                  <c:v>6.6684659863075632E-2</c:v>
                </c:pt>
                <c:pt idx="10">
                  <c:v>7.1470848799503536E-2</c:v>
                </c:pt>
                <c:pt idx="11">
                  <c:v>7.7133358111362751E-2</c:v>
                </c:pt>
                <c:pt idx="12">
                  <c:v>7.8210099665055405E-2</c:v>
                </c:pt>
                <c:pt idx="13">
                  <c:v>7.7133358111362751E-2</c:v>
                </c:pt>
                <c:pt idx="14">
                  <c:v>7.5024142377540529E-2</c:v>
                </c:pt>
                <c:pt idx="15">
                  <c:v>7.8754093928216667E-2</c:v>
                </c:pt>
                <c:pt idx="16">
                  <c:v>6.8085846318859999E-2</c:v>
                </c:pt>
                <c:pt idx="17">
                  <c:v>6.2218987681659919E-2</c:v>
                </c:pt>
                <c:pt idx="18">
                  <c:v>5.8862749067760026E-2</c:v>
                </c:pt>
                <c:pt idx="19">
                  <c:v>5.6464923145548844E-2</c:v>
                </c:pt>
                <c:pt idx="20">
                  <c:v>5.3050079827863944E-2</c:v>
                </c:pt>
                <c:pt idx="21">
                  <c:v>4.9497474683058325E-2</c:v>
                </c:pt>
                <c:pt idx="22">
                  <c:v>4.9155570650829906E-2</c:v>
                </c:pt>
                <c:pt idx="23">
                  <c:v>4.8816028322264199E-2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9F-43C6-A87A-FC96EA048C86}"/>
            </c:ext>
          </c:extLst>
        </c:ser>
        <c:ser>
          <c:idx val="4"/>
          <c:order val="3"/>
          <c:tx>
            <c:v>Net Photosynthesis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h_Simulation'!$AG$3:$AG$26</c:f>
              <c:numCache>
                <c:formatCode>0.0000_ </c:formatCode>
                <c:ptCount val="24"/>
                <c:pt idx="0">
                  <c:v>-3.965093598535295E-2</c:v>
                </c:pt>
                <c:pt idx="1">
                  <c:v>-3.8566679055681376E-2</c:v>
                </c:pt>
                <c:pt idx="2">
                  <c:v>-3.5735424399751768E-2</c:v>
                </c:pt>
                <c:pt idx="3">
                  <c:v>-3.404292315943E-2</c:v>
                </c:pt>
                <c:pt idx="4">
                  <c:v>-3.0102180457382301E-2</c:v>
                </c:pt>
                <c:pt idx="5">
                  <c:v>5.4697412706817883E-2</c:v>
                </c:pt>
                <c:pt idx="6">
                  <c:v>0.17250445824242802</c:v>
                </c:pt>
                <c:pt idx="7">
                  <c:v>0.2948415307452425</c:v>
                </c:pt>
                <c:pt idx="8">
                  <c:v>0.34644665402184871</c:v>
                </c:pt>
                <c:pt idx="9">
                  <c:v>0.36665155146257872</c:v>
                </c:pt>
                <c:pt idx="10">
                  <c:v>0.37519333889863044</c:v>
                </c:pt>
                <c:pt idx="11">
                  <c:v>0.38182090109967731</c:v>
                </c:pt>
                <c:pt idx="12">
                  <c:v>0.37921831230780656</c:v>
                </c:pt>
                <c:pt idx="13">
                  <c:v>0.37333027540381752</c:v>
                </c:pt>
                <c:pt idx="14">
                  <c:v>0.3530517237551925</c:v>
                </c:pt>
                <c:pt idx="15">
                  <c:v>0.33554776196384173</c:v>
                </c:pt>
                <c:pt idx="16">
                  <c:v>0.2857184361519543</c:v>
                </c:pt>
                <c:pt idx="17">
                  <c:v>0.15445954338494491</c:v>
                </c:pt>
                <c:pt idx="18">
                  <c:v>-4.0667057046726088E-2</c:v>
                </c:pt>
                <c:pt idx="19">
                  <c:v>-5.6464923145548844E-2</c:v>
                </c:pt>
                <c:pt idx="20">
                  <c:v>-5.3050079827863944E-2</c:v>
                </c:pt>
                <c:pt idx="21">
                  <c:v>-4.9497474683058325E-2</c:v>
                </c:pt>
                <c:pt idx="22">
                  <c:v>-4.9155570650829906E-2</c:v>
                </c:pt>
                <c:pt idx="23">
                  <c:v>-4.8816028322264199E-2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9F-43C6-A87A-FC96EA04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64064"/>
        <c:axId val="-1091659712"/>
      </c:scatterChart>
      <c:valAx>
        <c:axId val="-1091664064"/>
        <c:scaling>
          <c:orientation val="minMax"/>
          <c:max val="2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Time (00:00 ~ 24:00)</a:t>
                </a:r>
              </a:p>
            </c:rich>
          </c:tx>
          <c:layout>
            <c:manualLayout>
              <c:xMode val="edge"/>
              <c:yMode val="edge"/>
              <c:x val="0.41419339784968379"/>
              <c:y val="0.82296792740389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59712"/>
        <c:crosses val="autoZero"/>
        <c:crossBetween val="midCat"/>
      </c:valAx>
      <c:valAx>
        <c:axId val="-1091659712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Photosynthesis,</a:t>
                </a:r>
                <a:r>
                  <a:rPr lang="en-US" altLang="zh-TW" sz="1200" baseline="0"/>
                  <a:t> Darkrespiration, Respiration, </a:t>
                </a:r>
              </a:p>
              <a:p>
                <a:pPr>
                  <a:defRPr sz="1200"/>
                </a:pPr>
                <a:r>
                  <a:rPr lang="en-US" altLang="zh-TW" sz="1200" baseline="0"/>
                  <a:t>Net Photosynthesis rate</a:t>
                </a:r>
                <a:r>
                  <a:rPr lang="en-US" altLang="zh-TW" sz="1200"/>
                  <a:t> in mg/m2/s</a:t>
                </a:r>
                <a:endParaRPr lang="zh-TW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64064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57886837705943E-2"/>
          <c:y val="3.4089709124894993E-2"/>
          <c:w val="0.83606243273551162"/>
          <c:h val="0.77739310720089849"/>
        </c:manualLayout>
      </c:layout>
      <c:scatterChart>
        <c:scatterStyle val="lineMarker"/>
        <c:varyColors val="0"/>
        <c:ser>
          <c:idx val="3"/>
          <c:order val="0"/>
          <c:tx>
            <c:strRef>
              <c:f>'Pn_24 h_Simulation'!$AD$2</c:f>
              <c:strCache>
                <c:ptCount val="1"/>
                <c:pt idx="0">
                  <c:v>Ps(mg/m2/s)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h_Simulation'!$AD$3:$AD$26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7.7118956919042993E-3</c:v>
                </c:pt>
                <c:pt idx="5">
                  <c:v>0.13909969934284486</c:v>
                </c:pt>
                <c:pt idx="6">
                  <c:v>0.32384134161043882</c:v>
                </c:pt>
                <c:pt idx="7">
                  <c:v>0.52128775035694475</c:v>
                </c:pt>
                <c:pt idx="8">
                  <c:v>0.61299846255526291</c:v>
                </c:pt>
                <c:pt idx="9">
                  <c:v>0.65000431698848149</c:v>
                </c:pt>
                <c:pt idx="10">
                  <c:v>0.66999628154720092</c:v>
                </c:pt>
                <c:pt idx="11">
                  <c:v>0.68843138881656007</c:v>
                </c:pt>
                <c:pt idx="12">
                  <c:v>0.68614261795929299</c:v>
                </c:pt>
                <c:pt idx="13">
                  <c:v>0.67569545027277034</c:v>
                </c:pt>
                <c:pt idx="14">
                  <c:v>0.6421137991990995</c:v>
                </c:pt>
                <c:pt idx="15">
                  <c:v>0.62145278383808755</c:v>
                </c:pt>
                <c:pt idx="16">
                  <c:v>0.53070642370622145</c:v>
                </c:pt>
                <c:pt idx="17">
                  <c:v>0.32501779659990726</c:v>
                </c:pt>
                <c:pt idx="18">
                  <c:v>2.72935380315509E-2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0-4F12-876D-17355F104AC0}"/>
            </c:ext>
          </c:extLst>
        </c:ser>
        <c:ser>
          <c:idx val="0"/>
          <c:order val="1"/>
          <c:tx>
            <c:strRef>
              <c:f>'Pn_24 h_Simulation'!$AF$2</c:f>
              <c:strCache>
                <c:ptCount val="1"/>
                <c:pt idx="0">
                  <c:v>Rp(mg/m2/s)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h_Simulation'!$AF$3:$AF$26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2.5706318973014331E-3</c:v>
                </c:pt>
                <c:pt idx="5">
                  <c:v>4.636656644761495E-2</c:v>
                </c:pt>
                <c:pt idx="6">
                  <c:v>0.10794711387014627</c:v>
                </c:pt>
                <c:pt idx="7">
                  <c:v>0.17376258345231491</c:v>
                </c:pt>
                <c:pt idx="8">
                  <c:v>0.2043328208517543</c:v>
                </c:pt>
                <c:pt idx="9">
                  <c:v>0.21666810566282715</c:v>
                </c:pt>
                <c:pt idx="10">
                  <c:v>0.22333209384906696</c:v>
                </c:pt>
                <c:pt idx="11">
                  <c:v>0.22947712960552002</c:v>
                </c:pt>
                <c:pt idx="12">
                  <c:v>0.228714205986431</c:v>
                </c:pt>
                <c:pt idx="13">
                  <c:v>0.2252318167575901</c:v>
                </c:pt>
                <c:pt idx="14">
                  <c:v>0.21403793306636648</c:v>
                </c:pt>
                <c:pt idx="15">
                  <c:v>0.20715092794602918</c:v>
                </c:pt>
                <c:pt idx="16">
                  <c:v>0.17690214123540715</c:v>
                </c:pt>
                <c:pt idx="17">
                  <c:v>0.10833926553330242</c:v>
                </c:pt>
                <c:pt idx="18">
                  <c:v>9.0978460105169655E-3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20-4F12-876D-17355F104AC0}"/>
            </c:ext>
          </c:extLst>
        </c:ser>
        <c:ser>
          <c:idx val="1"/>
          <c:order val="2"/>
          <c:tx>
            <c:strRef>
              <c:f>'Pn_24 h_Simulation'!$U$1</c:f>
              <c:strCache>
                <c:ptCount val="1"/>
                <c:pt idx="0">
                  <c:v>Dark Respiration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h_Simulation'!$U$3:$U$26</c:f>
              <c:numCache>
                <c:formatCode>0.0000</c:formatCode>
                <c:ptCount val="24"/>
                <c:pt idx="0">
                  <c:v>3.965093598535295E-2</c:v>
                </c:pt>
                <c:pt idx="1">
                  <c:v>3.8566679055681376E-2</c:v>
                </c:pt>
                <c:pt idx="2">
                  <c:v>3.5735424399751768E-2</c:v>
                </c:pt>
                <c:pt idx="3">
                  <c:v>3.404292315943E-2</c:v>
                </c:pt>
                <c:pt idx="4">
                  <c:v>3.5243444251985168E-2</c:v>
                </c:pt>
                <c:pt idx="5">
                  <c:v>3.8035720188412031E-2</c:v>
                </c:pt>
                <c:pt idx="6">
                  <c:v>4.3389769497864529E-2</c:v>
                </c:pt>
                <c:pt idx="7">
                  <c:v>5.2683636159387363E-2</c:v>
                </c:pt>
                <c:pt idx="8">
                  <c:v>6.2218987681659919E-2</c:v>
                </c:pt>
                <c:pt idx="9">
                  <c:v>6.6684659863075632E-2</c:v>
                </c:pt>
                <c:pt idx="10">
                  <c:v>7.1470848799503536E-2</c:v>
                </c:pt>
                <c:pt idx="11">
                  <c:v>7.7133358111362751E-2</c:v>
                </c:pt>
                <c:pt idx="12">
                  <c:v>7.8210099665055405E-2</c:v>
                </c:pt>
                <c:pt idx="13">
                  <c:v>7.7133358111362751E-2</c:v>
                </c:pt>
                <c:pt idx="14">
                  <c:v>7.5024142377540529E-2</c:v>
                </c:pt>
                <c:pt idx="15">
                  <c:v>7.8754093928216667E-2</c:v>
                </c:pt>
                <c:pt idx="16">
                  <c:v>6.8085846318859999E-2</c:v>
                </c:pt>
                <c:pt idx="17">
                  <c:v>6.2218987681659919E-2</c:v>
                </c:pt>
                <c:pt idx="18">
                  <c:v>5.8862749067760026E-2</c:v>
                </c:pt>
                <c:pt idx="19">
                  <c:v>5.6464923145548844E-2</c:v>
                </c:pt>
                <c:pt idx="20">
                  <c:v>5.3050079827863944E-2</c:v>
                </c:pt>
                <c:pt idx="21">
                  <c:v>4.9497474683058325E-2</c:v>
                </c:pt>
                <c:pt idx="22">
                  <c:v>4.9155570650829906E-2</c:v>
                </c:pt>
                <c:pt idx="23">
                  <c:v>4.8816028322264199E-2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20-4F12-876D-17355F104AC0}"/>
            </c:ext>
          </c:extLst>
        </c:ser>
        <c:ser>
          <c:idx val="4"/>
          <c:order val="3"/>
          <c:tx>
            <c:v>Net Photosynthesis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h_Simulation'!$AG$3:$AG$26</c:f>
              <c:numCache>
                <c:formatCode>0.0000_ </c:formatCode>
                <c:ptCount val="24"/>
                <c:pt idx="0">
                  <c:v>-3.965093598535295E-2</c:v>
                </c:pt>
                <c:pt idx="1">
                  <c:v>-3.8566679055681376E-2</c:v>
                </c:pt>
                <c:pt idx="2">
                  <c:v>-3.5735424399751768E-2</c:v>
                </c:pt>
                <c:pt idx="3">
                  <c:v>-3.404292315943E-2</c:v>
                </c:pt>
                <c:pt idx="4">
                  <c:v>-3.0102180457382301E-2</c:v>
                </c:pt>
                <c:pt idx="5">
                  <c:v>5.4697412706817883E-2</c:v>
                </c:pt>
                <c:pt idx="6">
                  <c:v>0.17250445824242802</c:v>
                </c:pt>
                <c:pt idx="7">
                  <c:v>0.2948415307452425</c:v>
                </c:pt>
                <c:pt idx="8">
                  <c:v>0.34644665402184871</c:v>
                </c:pt>
                <c:pt idx="9">
                  <c:v>0.36665155146257872</c:v>
                </c:pt>
                <c:pt idx="10">
                  <c:v>0.37519333889863044</c:v>
                </c:pt>
                <c:pt idx="11">
                  <c:v>0.38182090109967731</c:v>
                </c:pt>
                <c:pt idx="12">
                  <c:v>0.37921831230780656</c:v>
                </c:pt>
                <c:pt idx="13">
                  <c:v>0.37333027540381752</c:v>
                </c:pt>
                <c:pt idx="14">
                  <c:v>0.3530517237551925</c:v>
                </c:pt>
                <c:pt idx="15">
                  <c:v>0.33554776196384173</c:v>
                </c:pt>
                <c:pt idx="16">
                  <c:v>0.2857184361519543</c:v>
                </c:pt>
                <c:pt idx="17">
                  <c:v>0.15445954338494491</c:v>
                </c:pt>
                <c:pt idx="18">
                  <c:v>-4.0667057046726088E-2</c:v>
                </c:pt>
                <c:pt idx="19">
                  <c:v>-5.6464923145548844E-2</c:v>
                </c:pt>
                <c:pt idx="20">
                  <c:v>-5.3050079827863944E-2</c:v>
                </c:pt>
                <c:pt idx="21">
                  <c:v>-4.9497474683058325E-2</c:v>
                </c:pt>
                <c:pt idx="22">
                  <c:v>-4.9155570650829906E-2</c:v>
                </c:pt>
                <c:pt idx="23">
                  <c:v>-4.8816028322264199E-2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20-4F12-876D-17355F10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1664064"/>
        <c:axId val="-1091659712"/>
      </c:scatterChart>
      <c:scatterChart>
        <c:scatterStyle val="lineMarker"/>
        <c:varyColors val="0"/>
        <c:ser>
          <c:idx val="2"/>
          <c:order val="4"/>
          <c:tx>
            <c:strRef>
              <c:f>'Pn_24 h_Simulation'!$H$2</c:f>
              <c:strCache>
                <c:ptCount val="1"/>
                <c:pt idx="0">
                  <c:v>PAR,W/m2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'Pn_24 h_Simulation'!$A$3:$A$26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'Pn_24 h_Simulation'!$H$3:$H$26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2.7777777777777777</c:v>
                </c:pt>
                <c:pt idx="5">
                  <c:v>61.111111111111114</c:v>
                </c:pt>
                <c:pt idx="6">
                  <c:v>183.33333333333334</c:v>
                </c:pt>
                <c:pt idx="7">
                  <c:v>461.11111111111109</c:v>
                </c:pt>
                <c:pt idx="8">
                  <c:v>658.33333333333337</c:v>
                </c:pt>
                <c:pt idx="9">
                  <c:v>813.88888888888891</c:v>
                </c:pt>
                <c:pt idx="10">
                  <c:v>858.33333333333337</c:v>
                </c:pt>
                <c:pt idx="11">
                  <c:v>908.33333333333337</c:v>
                </c:pt>
                <c:pt idx="12">
                  <c:v>855.55555555555554</c:v>
                </c:pt>
                <c:pt idx="13">
                  <c:v>772.22222222222217</c:v>
                </c:pt>
                <c:pt idx="14">
                  <c:v>569.44444444444434</c:v>
                </c:pt>
                <c:pt idx="15">
                  <c:v>444.44444444444446</c:v>
                </c:pt>
                <c:pt idx="16">
                  <c:v>286.11111111111109</c:v>
                </c:pt>
                <c:pt idx="17">
                  <c:v>102.77777777777777</c:v>
                </c:pt>
                <c:pt idx="18">
                  <c:v>5.5555555555555554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20-4F12-876D-17355F10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478640"/>
        <c:axId val="2098481968"/>
      </c:scatterChart>
      <c:valAx>
        <c:axId val="-1091664064"/>
        <c:scaling>
          <c:orientation val="minMax"/>
          <c:max val="2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Time (00:00 ~ 24:00)</a:t>
                </a:r>
              </a:p>
            </c:rich>
          </c:tx>
          <c:layout>
            <c:manualLayout>
              <c:xMode val="edge"/>
              <c:yMode val="edge"/>
              <c:x val="0.41295987657703165"/>
              <c:y val="0.8677506546645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59712"/>
        <c:crosses val="autoZero"/>
        <c:crossBetween val="midCat"/>
      </c:valAx>
      <c:valAx>
        <c:axId val="-109165971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Photosynthesis,</a:t>
                </a:r>
                <a:r>
                  <a:rPr lang="en-US" altLang="zh-TW" sz="1200" baseline="0"/>
                  <a:t> Darkrespiration, Respiration, </a:t>
                </a:r>
              </a:p>
              <a:p>
                <a:pPr>
                  <a:defRPr sz="1200"/>
                </a:pPr>
                <a:r>
                  <a:rPr lang="en-US" altLang="zh-TW" sz="1200" baseline="0"/>
                  <a:t>Net Photosynthesis rate</a:t>
                </a:r>
                <a:r>
                  <a:rPr lang="en-US" altLang="zh-TW" sz="1200"/>
                  <a:t> in mg/m2/s</a:t>
                </a:r>
                <a:endParaRPr lang="zh-TW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091664064"/>
        <c:crosses val="autoZero"/>
        <c:crossBetween val="midCat"/>
      </c:valAx>
      <c:valAx>
        <c:axId val="2098481968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200"/>
                  <a:t>PAR,  W/m2</a:t>
                </a:r>
                <a:endParaRPr lang="zh-TW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98478640"/>
        <c:crosses val="max"/>
        <c:crossBetween val="midCat"/>
      </c:valAx>
      <c:valAx>
        <c:axId val="209847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848196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24</xdr:row>
      <xdr:rowOff>12134</xdr:rowOff>
    </xdr:from>
    <xdr:to>
      <xdr:col>15</xdr:col>
      <xdr:colOff>224363</xdr:colOff>
      <xdr:row>28</xdr:row>
      <xdr:rowOff>22210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5565209"/>
          <a:ext cx="6352113" cy="84827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30</xdr:row>
      <xdr:rowOff>78475</xdr:rowOff>
    </xdr:from>
    <xdr:to>
      <xdr:col>9</xdr:col>
      <xdr:colOff>776975</xdr:colOff>
      <xdr:row>34</xdr:row>
      <xdr:rowOff>212951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6612625"/>
          <a:ext cx="6577700" cy="101712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34</xdr:row>
      <xdr:rowOff>173860</xdr:rowOff>
    </xdr:from>
    <xdr:to>
      <xdr:col>9</xdr:col>
      <xdr:colOff>767450</xdr:colOff>
      <xdr:row>37</xdr:row>
      <xdr:rowOff>214541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7822435"/>
          <a:ext cx="7200000" cy="67568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37</xdr:row>
      <xdr:rowOff>207290</xdr:rowOff>
    </xdr:from>
    <xdr:to>
      <xdr:col>9</xdr:col>
      <xdr:colOff>757925</xdr:colOff>
      <xdr:row>41</xdr:row>
      <xdr:rowOff>51150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8484515"/>
          <a:ext cx="7200000" cy="70111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41</xdr:row>
      <xdr:rowOff>64321</xdr:rowOff>
    </xdr:from>
    <xdr:to>
      <xdr:col>9</xdr:col>
      <xdr:colOff>767450</xdr:colOff>
      <xdr:row>44</xdr:row>
      <xdr:rowOff>158839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9179746"/>
          <a:ext cx="7200000" cy="73904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74400</xdr:rowOff>
    </xdr:from>
    <xdr:to>
      <xdr:col>9</xdr:col>
      <xdr:colOff>757925</xdr:colOff>
      <xdr:row>48</xdr:row>
      <xdr:rowOff>11515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9818475"/>
          <a:ext cx="7200000" cy="77531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47</xdr:row>
      <xdr:rowOff>99487</xdr:rowOff>
    </xdr:from>
    <xdr:to>
      <xdr:col>9</xdr:col>
      <xdr:colOff>757925</xdr:colOff>
      <xdr:row>50</xdr:row>
      <xdr:rowOff>209879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10472212"/>
          <a:ext cx="7200000" cy="739042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32</xdr:row>
      <xdr:rowOff>66675</xdr:rowOff>
    </xdr:from>
    <xdr:to>
      <xdr:col>5</xdr:col>
      <xdr:colOff>714375</xdr:colOff>
      <xdr:row>33</xdr:row>
      <xdr:rowOff>57150</xdr:rowOff>
    </xdr:to>
    <xdr:cxnSp macro="">
      <xdr:nvCxnSpPr>
        <xdr:cNvPr id="21" name="弧形接點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638425" y="7296150"/>
          <a:ext cx="1752600" cy="200025"/>
        </a:xfrm>
        <a:prstGeom prst="curvedConnector3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33</xdr:row>
      <xdr:rowOff>122926</xdr:rowOff>
    </xdr:from>
    <xdr:to>
      <xdr:col>5</xdr:col>
      <xdr:colOff>762000</xdr:colOff>
      <xdr:row>34</xdr:row>
      <xdr:rowOff>76200</xdr:rowOff>
    </xdr:to>
    <xdr:cxnSp macro="">
      <xdr:nvCxnSpPr>
        <xdr:cNvPr id="25" name="弧形接點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685925" y="7561951"/>
          <a:ext cx="2752725" cy="162824"/>
        </a:xfrm>
        <a:prstGeom prst="curvedConnector3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43</xdr:row>
      <xdr:rowOff>30985</xdr:rowOff>
    </xdr:from>
    <xdr:to>
      <xdr:col>5</xdr:col>
      <xdr:colOff>704850</xdr:colOff>
      <xdr:row>43</xdr:row>
      <xdr:rowOff>180975</xdr:rowOff>
    </xdr:to>
    <xdr:cxnSp macro="">
      <xdr:nvCxnSpPr>
        <xdr:cNvPr id="29" name="弧形接點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647825" y="9565510"/>
          <a:ext cx="2733675" cy="149990"/>
        </a:xfrm>
        <a:prstGeom prst="curvedConnector3">
          <a:avLst>
            <a:gd name="adj1" fmla="val 5348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304800</xdr:colOff>
      <xdr:row>35</xdr:row>
      <xdr:rowOff>76200</xdr:rowOff>
    </xdr:from>
    <xdr:to>
      <xdr:col>5</xdr:col>
      <xdr:colOff>688586</xdr:colOff>
      <xdr:row>36</xdr:row>
      <xdr:rowOff>167408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6400" y="7934325"/>
          <a:ext cx="2796786" cy="307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57149</xdr:rowOff>
    </xdr:from>
    <xdr:to>
      <xdr:col>10</xdr:col>
      <xdr:colOff>532698</xdr:colOff>
      <xdr:row>46</xdr:row>
      <xdr:rowOff>190921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858" r="14754"/>
        <a:stretch/>
      </xdr:blipFill>
      <xdr:spPr>
        <a:xfrm>
          <a:off x="0" y="6286499"/>
          <a:ext cx="8473662" cy="3915197"/>
        </a:xfrm>
        <a:prstGeom prst="rect">
          <a:avLst/>
        </a:prstGeom>
      </xdr:spPr>
    </xdr:pic>
    <xdr:clientData/>
  </xdr:twoCellAnchor>
  <xdr:twoCellAnchor>
    <xdr:from>
      <xdr:col>4</xdr:col>
      <xdr:colOff>895350</xdr:colOff>
      <xdr:row>40</xdr:row>
      <xdr:rowOff>19050</xdr:rowOff>
    </xdr:from>
    <xdr:to>
      <xdr:col>7</xdr:col>
      <xdr:colOff>247650</xdr:colOff>
      <xdr:row>41</xdr:row>
      <xdr:rowOff>133350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9210675"/>
          <a:ext cx="1800225" cy="3238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152400</xdr:colOff>
      <xdr:row>40</xdr:row>
      <xdr:rowOff>66676</xdr:rowOff>
    </xdr:from>
    <xdr:to>
      <xdr:col>8</xdr:col>
      <xdr:colOff>66675</xdr:colOff>
      <xdr:row>41</xdr:row>
      <xdr:rowOff>123826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43525" y="9258301"/>
          <a:ext cx="762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>
              <a:solidFill>
                <a:srgbClr val="FF0000"/>
              </a:solidFill>
            </a:rPr>
            <a:t>why ????</a:t>
          </a:r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542925</xdr:colOff>
      <xdr:row>34</xdr:row>
      <xdr:rowOff>9525</xdr:rowOff>
    </xdr:from>
    <xdr:to>
      <xdr:col>4</xdr:col>
      <xdr:colOff>504825</xdr:colOff>
      <xdr:row>35</xdr:row>
      <xdr:rowOff>123825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8725" y="7496175"/>
          <a:ext cx="2019300" cy="3238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609600</xdr:colOff>
      <xdr:row>34</xdr:row>
      <xdr:rowOff>57151</xdr:rowOff>
    </xdr:from>
    <xdr:to>
      <xdr:col>5</xdr:col>
      <xdr:colOff>657225</xdr:colOff>
      <xdr:row>35</xdr:row>
      <xdr:rowOff>114301</xdr:rowOff>
    </xdr:to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52800" y="7543801"/>
          <a:ext cx="981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>
              <a:solidFill>
                <a:srgbClr val="FF0000"/>
              </a:solidFill>
            </a:rPr>
            <a:t>ratio=1.83025</a:t>
          </a:r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41688</xdr:colOff>
      <xdr:row>41</xdr:row>
      <xdr:rowOff>133350</xdr:rowOff>
    </xdr:from>
    <xdr:to>
      <xdr:col>5</xdr:col>
      <xdr:colOff>441738</xdr:colOff>
      <xdr:row>42</xdr:row>
      <xdr:rowOff>123826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99088" y="9096375"/>
          <a:ext cx="2019300" cy="20002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470313</xdr:colOff>
      <xdr:row>41</xdr:row>
      <xdr:rowOff>123825</xdr:rowOff>
    </xdr:from>
    <xdr:to>
      <xdr:col>6</xdr:col>
      <xdr:colOff>466725</xdr:colOff>
      <xdr:row>42</xdr:row>
      <xdr:rowOff>180975</xdr:rowOff>
    </xdr:to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46963" y="9086850"/>
          <a:ext cx="844137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>
              <a:solidFill>
                <a:srgbClr val="FF0000"/>
              </a:solidFill>
            </a:rPr>
            <a:t>ratio=1.96</a:t>
          </a:r>
          <a:endParaRPr lang="zh-TW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128788</xdr:colOff>
      <xdr:row>26</xdr:row>
      <xdr:rowOff>204969</xdr:rowOff>
    </xdr:from>
    <xdr:to>
      <xdr:col>18</xdr:col>
      <xdr:colOff>71548</xdr:colOff>
      <xdr:row>44</xdr:row>
      <xdr:rowOff>88701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6DDF1184-3CD9-4725-9901-FE0CE60CE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496256</xdr:colOff>
      <xdr:row>45</xdr:row>
      <xdr:rowOff>78288</xdr:rowOff>
    </xdr:from>
    <xdr:to>
      <xdr:col>18</xdr:col>
      <xdr:colOff>17397</xdr:colOff>
      <xdr:row>62</xdr:row>
      <xdr:rowOff>185611</xdr:rowOff>
    </xdr:to>
    <xdr:graphicFrame macro="">
      <xdr:nvGraphicFramePr>
        <xdr:cNvPr id="10" name="圖表 9">
          <a:extLst>
            <a:ext uri="{FF2B5EF4-FFF2-40B4-BE49-F238E27FC236}">
              <a16:creationId xmlns:a16="http://schemas.microsoft.com/office/drawing/2014/main" id="{8D1F882B-14F2-46B8-97B5-88BEA6C30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139178</xdr:colOff>
      <xdr:row>27</xdr:row>
      <xdr:rowOff>165274</xdr:rowOff>
    </xdr:from>
    <xdr:to>
      <xdr:col>33</xdr:col>
      <xdr:colOff>164839</xdr:colOff>
      <xdr:row>45</xdr:row>
      <xdr:rowOff>46433</xdr:rowOff>
    </xdr:to>
    <xdr:graphicFrame macro="">
      <xdr:nvGraphicFramePr>
        <xdr:cNvPr id="12" name="圖表 11">
          <a:extLst>
            <a:ext uri="{FF2B5EF4-FFF2-40B4-BE49-F238E27FC236}">
              <a16:creationId xmlns:a16="http://schemas.microsoft.com/office/drawing/2014/main" id="{89129B0E-89A0-4E0A-824E-F1DB3E7BE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78287</xdr:colOff>
      <xdr:row>46</xdr:row>
      <xdr:rowOff>104383</xdr:rowOff>
    </xdr:from>
    <xdr:to>
      <xdr:col>33</xdr:col>
      <xdr:colOff>103948</xdr:colOff>
      <xdr:row>63</xdr:row>
      <xdr:rowOff>211706</xdr:rowOff>
    </xdr:to>
    <xdr:graphicFrame macro="">
      <xdr:nvGraphicFramePr>
        <xdr:cNvPr id="13" name="圖表 12">
          <a:extLst>
            <a:ext uri="{FF2B5EF4-FFF2-40B4-BE49-F238E27FC236}">
              <a16:creationId xmlns:a16="http://schemas.microsoft.com/office/drawing/2014/main" id="{86A7084C-F0F1-440F-B33E-B99BFE28B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252260</xdr:colOff>
      <xdr:row>64</xdr:row>
      <xdr:rowOff>60891</xdr:rowOff>
    </xdr:from>
    <xdr:to>
      <xdr:col>18</xdr:col>
      <xdr:colOff>187792</xdr:colOff>
      <xdr:row>81</xdr:row>
      <xdr:rowOff>170899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9D593007-430E-40C5-8CB0-1316E7BAD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661095</xdr:colOff>
      <xdr:row>64</xdr:row>
      <xdr:rowOff>86985</xdr:rowOff>
    </xdr:from>
    <xdr:to>
      <xdr:col>32</xdr:col>
      <xdr:colOff>735805</xdr:colOff>
      <xdr:row>82</xdr:row>
      <xdr:rowOff>182670</xdr:rowOff>
    </xdr:to>
    <xdr:graphicFrame macro="">
      <xdr:nvGraphicFramePr>
        <xdr:cNvPr id="14" name="圖表 13">
          <a:extLst>
            <a:ext uri="{FF2B5EF4-FFF2-40B4-BE49-F238E27FC236}">
              <a16:creationId xmlns:a16="http://schemas.microsoft.com/office/drawing/2014/main" id="{D24CFA7F-3011-4B54-A093-81AEAA58F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n@Tl=10" TargetMode="External"/><Relationship Id="rId1" Type="http://schemas.openxmlformats.org/officeDocument/2006/relationships/hyperlink" Target="mailto:Pn@Tl=2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opLeftCell="A19" workbookViewId="0">
      <selection activeCell="A54" sqref="A54"/>
    </sheetView>
  </sheetViews>
  <sheetFormatPr defaultRowHeight="17" x14ac:dyDescent="0.4"/>
  <cols>
    <col min="4" max="4" width="11.08984375" bestFit="1" customWidth="1"/>
    <col min="5" max="5" width="12.26953125" customWidth="1"/>
    <col min="6" max="6" width="11.08984375" bestFit="1" customWidth="1"/>
    <col min="7" max="7" width="5.26953125" customWidth="1"/>
    <col min="8" max="8" width="11.08984375" customWidth="1"/>
    <col min="9" max="9" width="9.1796875" customWidth="1"/>
    <col min="10" max="10" width="12.26953125" customWidth="1"/>
    <col min="11" max="11" width="13.26953125" customWidth="1"/>
    <col min="12" max="12" width="11.453125" customWidth="1"/>
    <col min="13" max="13" width="11.26953125" customWidth="1"/>
  </cols>
  <sheetData>
    <row r="1" spans="1:14" x14ac:dyDescent="0.4">
      <c r="A1" s="24" t="s">
        <v>0</v>
      </c>
      <c r="B1" s="184">
        <v>2.3834877641408938</v>
      </c>
      <c r="C1" s="185"/>
      <c r="D1" s="30" t="s">
        <v>64</v>
      </c>
      <c r="E1" s="30">
        <f>B1*10000*3600/10^6</f>
        <v>85.805559509072168</v>
      </c>
      <c r="F1" s="25" t="s">
        <v>14</v>
      </c>
      <c r="H1" s="24" t="s">
        <v>91</v>
      </c>
      <c r="I1" s="182">
        <v>400</v>
      </c>
      <c r="J1" s="183" t="s">
        <v>104</v>
      </c>
      <c r="K1" s="25">
        <f>I1*1.83025</f>
        <v>732.1</v>
      </c>
    </row>
    <row r="2" spans="1:14" x14ac:dyDescent="0.4">
      <c r="A2" s="154" t="s">
        <v>37</v>
      </c>
      <c r="B2" s="177"/>
      <c r="C2" s="17" t="s">
        <v>114</v>
      </c>
      <c r="D2" s="178">
        <v>20</v>
      </c>
      <c r="E2" s="17" t="s">
        <v>22</v>
      </c>
      <c r="F2" s="178">
        <v>25</v>
      </c>
      <c r="G2" s="17" t="s">
        <v>115</v>
      </c>
      <c r="H2" s="5">
        <v>5</v>
      </c>
      <c r="J2" s="13"/>
    </row>
    <row r="3" spans="1:14" x14ac:dyDescent="0.4">
      <c r="A3" s="179"/>
      <c r="B3" s="180"/>
      <c r="C3" s="180" t="s">
        <v>23</v>
      </c>
      <c r="D3" s="180">
        <f>$D$2+H2</f>
        <v>25</v>
      </c>
      <c r="E3" s="180" t="s">
        <v>24</v>
      </c>
      <c r="F3" s="180">
        <f>$F$2+H2</f>
        <v>30</v>
      </c>
      <c r="G3" s="180" t="s">
        <v>1</v>
      </c>
      <c r="H3" s="181">
        <f>(2*D3^2*F3^2-D3^4)/F3^4</f>
        <v>0.90663580246913578</v>
      </c>
    </row>
    <row r="4" spans="1:14" x14ac:dyDescent="0.4">
      <c r="A4" s="86"/>
      <c r="B4" s="19"/>
      <c r="C4" s="19" t="s">
        <v>5</v>
      </c>
      <c r="D4" s="37" t="s">
        <v>6</v>
      </c>
      <c r="E4" s="37" t="s">
        <v>7</v>
      </c>
      <c r="F4" s="175" t="s">
        <v>20</v>
      </c>
      <c r="H4" s="176" t="s">
        <v>36</v>
      </c>
      <c r="I4" s="36">
        <v>1</v>
      </c>
      <c r="J4" s="39" t="s">
        <v>27</v>
      </c>
      <c r="K4" s="43" t="s">
        <v>3</v>
      </c>
      <c r="L4" s="44" t="s">
        <v>15</v>
      </c>
      <c r="M4" s="45" t="s">
        <v>17</v>
      </c>
    </row>
    <row r="5" spans="1:14" ht="17.5" thickBot="1" x14ac:dyDescent="0.45">
      <c r="A5" s="97" t="s">
        <v>4</v>
      </c>
      <c r="B5" s="87">
        <v>400</v>
      </c>
      <c r="C5" s="19"/>
      <c r="D5" s="87">
        <v>200</v>
      </c>
      <c r="E5" s="87">
        <v>200</v>
      </c>
      <c r="F5" s="122">
        <v>200</v>
      </c>
      <c r="G5" s="33"/>
      <c r="H5" s="50" t="s">
        <v>12</v>
      </c>
      <c r="I5" s="72">
        <f>IF(I4&gt;=1,100,200-(I4*100))</f>
        <v>100</v>
      </c>
      <c r="K5" s="41" t="s">
        <v>16</v>
      </c>
      <c r="L5" s="37" t="s">
        <v>13</v>
      </c>
      <c r="M5" s="42" t="s">
        <v>18</v>
      </c>
    </row>
    <row r="6" spans="1:14" ht="17.5" thickBot="1" x14ac:dyDescent="0.45">
      <c r="A6" s="66"/>
      <c r="B6" s="67"/>
      <c r="C6" s="133" t="s">
        <v>2</v>
      </c>
      <c r="D6" s="131">
        <f>1/(1+D5/$B$5)</f>
        <v>0.66666666666666663</v>
      </c>
      <c r="E6" s="131">
        <f>1/(1+E5/$B$5)</f>
        <v>0.66666666666666663</v>
      </c>
      <c r="F6" s="132">
        <f>1/(1+F5/$B$5)</f>
        <v>0.66666666666666663</v>
      </c>
      <c r="G6" s="22"/>
      <c r="H6" s="51" t="s">
        <v>10</v>
      </c>
      <c r="I6" s="6">
        <f>1.65*I5</f>
        <v>165</v>
      </c>
      <c r="K6" s="49">
        <f>IF($B$5&gt;80,100,1000-$B$5*(1000-100)/80)</f>
        <v>100</v>
      </c>
      <c r="L6" s="73">
        <f>IF($B$5&gt;80,200,1200-$B$5*(1200-200)/80)</f>
        <v>200</v>
      </c>
      <c r="M6" s="20">
        <f>IF($B$5&gt;80,300,1400-$B$5*(1400-300)/80)</f>
        <v>300</v>
      </c>
    </row>
    <row r="7" spans="1:14" ht="17.5" thickBot="1" x14ac:dyDescent="0.45">
      <c r="A7" s="128" t="s">
        <v>40</v>
      </c>
      <c r="B7" s="129"/>
      <c r="C7" s="129"/>
      <c r="D7" s="130">
        <f>$B$1*$H$3*D6</f>
        <v>1.4406368944781636</v>
      </c>
      <c r="E7" s="131">
        <f>B1*H3*E6</f>
        <v>1.4406368944781636</v>
      </c>
      <c r="F7" s="132">
        <f>$B$1*$H$3*F6</f>
        <v>1.4406368944781636</v>
      </c>
      <c r="K7" s="41" t="s">
        <v>30</v>
      </c>
      <c r="L7" s="37" t="s">
        <v>11</v>
      </c>
      <c r="M7" s="48" t="s">
        <v>29</v>
      </c>
    </row>
    <row r="8" spans="1:14" ht="17.5" thickBot="1" x14ac:dyDescent="0.45">
      <c r="D8" s="1"/>
      <c r="E8" s="1"/>
      <c r="K8" s="32">
        <f>1.4*K6</f>
        <v>140</v>
      </c>
      <c r="L8" s="19">
        <f>1.4*L6</f>
        <v>280</v>
      </c>
      <c r="M8" s="5">
        <f>M6*1.4</f>
        <v>420</v>
      </c>
    </row>
    <row r="9" spans="1:14" x14ac:dyDescent="0.4">
      <c r="A9" s="17" t="s">
        <v>8</v>
      </c>
      <c r="B9" s="53" t="s">
        <v>25</v>
      </c>
      <c r="C9" s="25" t="s">
        <v>38</v>
      </c>
      <c r="D9" s="27" t="s">
        <v>112</v>
      </c>
      <c r="E9" s="17"/>
      <c r="F9" s="4"/>
      <c r="I9" s="40" t="s">
        <v>26</v>
      </c>
      <c r="J9" s="46" t="s">
        <v>58</v>
      </c>
      <c r="K9" s="55" t="s">
        <v>39</v>
      </c>
      <c r="L9" s="56"/>
      <c r="M9" s="57"/>
    </row>
    <row r="10" spans="1:14" x14ac:dyDescent="0.4">
      <c r="A10" s="18" t="s">
        <v>111</v>
      </c>
      <c r="B10" s="54">
        <v>440</v>
      </c>
      <c r="C10" s="146" t="s">
        <v>97</v>
      </c>
      <c r="D10" s="7">
        <f>$K$1+$B$10+K10*D7</f>
        <v>1862.6109838747598</v>
      </c>
      <c r="E10" s="15">
        <f>$K$1+$B$10+L10*E7</f>
        <v>2064.3001491017026</v>
      </c>
      <c r="F10" s="8">
        <f>$K$1+$B$10+M10*F7</f>
        <v>2265.9893143286454</v>
      </c>
      <c r="I10" s="18" t="s">
        <v>19</v>
      </c>
      <c r="J10" s="26">
        <f>1.4*J13</f>
        <v>174.3095238095238</v>
      </c>
      <c r="K10" s="58">
        <f>$I$6+K8+$J$10</f>
        <v>479.3095238095238</v>
      </c>
      <c r="L10" s="47">
        <f>$I$6+L8+$J$10</f>
        <v>619.30952380952385</v>
      </c>
      <c r="M10" s="59">
        <f>$I$6+M8+$J$10</f>
        <v>759.30952380952385</v>
      </c>
    </row>
    <row r="11" spans="1:14" ht="17.5" thickBot="1" x14ac:dyDescent="0.45">
      <c r="A11" s="21" t="s">
        <v>110</v>
      </c>
      <c r="B11" s="79">
        <v>440</v>
      </c>
      <c r="C11" s="147" t="s">
        <v>76</v>
      </c>
      <c r="D11" s="9">
        <f>$K$1+$B$11+K11*D7</f>
        <v>1737.0526183452998</v>
      </c>
      <c r="E11" s="16">
        <f>$K$1+$B$11+L11*E7</f>
        <v>1938.7417835722426</v>
      </c>
      <c r="F11" s="10">
        <f>$K$1+$B$11+M11*F7</f>
        <v>2140.4309487991854</v>
      </c>
      <c r="I11" s="21" t="s">
        <v>28</v>
      </c>
      <c r="J11" s="3">
        <f>J14*1.4</f>
        <v>87.154761904761898</v>
      </c>
      <c r="K11" s="58">
        <f>$I$6+K8+$J$11</f>
        <v>392.15476190476193</v>
      </c>
      <c r="L11" s="47">
        <f>$I$6+L8+$J$11</f>
        <v>532.15476190476193</v>
      </c>
      <c r="M11" s="59">
        <f>$I$6+M8+$J$11</f>
        <v>672.15476190476193</v>
      </c>
    </row>
    <row r="12" spans="1:14" ht="17.5" thickBot="1" x14ac:dyDescent="0.45">
      <c r="I12" s="154"/>
      <c r="J12" s="45" t="s">
        <v>57</v>
      </c>
      <c r="K12" s="56" t="s">
        <v>53</v>
      </c>
      <c r="L12" s="56"/>
      <c r="M12" s="57"/>
    </row>
    <row r="13" spans="1:14" x14ac:dyDescent="0.4">
      <c r="B13" t="s">
        <v>59</v>
      </c>
      <c r="C13" s="14" t="s">
        <v>32</v>
      </c>
      <c r="D13" s="74">
        <f>K10</f>
        <v>479.3095238095238</v>
      </c>
      <c r="E13" s="74">
        <f t="shared" ref="E13:F13" si="0">L10</f>
        <v>619.30952380952385</v>
      </c>
      <c r="F13" s="75">
        <f t="shared" si="0"/>
        <v>759.30952380952385</v>
      </c>
      <c r="I13" s="18" t="s">
        <v>19</v>
      </c>
      <c r="J13" s="155">
        <f>IF(K1&gt;=2352,400,400*K1/2352)</f>
        <v>124.50680272108843</v>
      </c>
      <c r="K13" s="28">
        <f>$I$5+$J$13+K6</f>
        <v>324.50680272108843</v>
      </c>
      <c r="L13" s="28">
        <f>$I$5+$J$13+L6</f>
        <v>424.50680272108843</v>
      </c>
      <c r="M13" s="69">
        <f>$I$5+$J$13+M6</f>
        <v>524.50680272108843</v>
      </c>
    </row>
    <row r="14" spans="1:14" ht="17.5" thickBot="1" x14ac:dyDescent="0.45">
      <c r="C14" s="14" t="s">
        <v>3</v>
      </c>
      <c r="D14" s="60">
        <f>K11</f>
        <v>392.15476190476193</v>
      </c>
      <c r="E14" s="60">
        <f t="shared" ref="E14:F14" si="1">L11</f>
        <v>532.15476190476193</v>
      </c>
      <c r="F14" s="76">
        <f t="shared" si="1"/>
        <v>672.15476190476193</v>
      </c>
      <c r="I14" s="21" t="s">
        <v>28</v>
      </c>
      <c r="J14" s="156">
        <f>IF(M1&gt;=2352,200,200*K1/2352)</f>
        <v>62.253401360544217</v>
      </c>
      <c r="K14" s="61">
        <f>$J$14+$I$5+K6</f>
        <v>262.25340136054422</v>
      </c>
      <c r="L14" s="61">
        <f>$J$14+$I$5+L6</f>
        <v>362.25340136054422</v>
      </c>
      <c r="M14" s="62">
        <f>$J$14+$I$5+M6</f>
        <v>462.25340136054422</v>
      </c>
    </row>
    <row r="15" spans="1:14" ht="17.5" thickBot="1" x14ac:dyDescent="0.45">
      <c r="B15" t="s">
        <v>102</v>
      </c>
      <c r="C15" s="14"/>
    </row>
    <row r="16" spans="1:14" x14ac:dyDescent="0.4">
      <c r="C16" s="14" t="s">
        <v>19</v>
      </c>
      <c r="D16" s="24">
        <f>4*$D$7*K10*$K$1</f>
        <v>2022092.3651788465</v>
      </c>
      <c r="E16" s="35">
        <f>4*$E$7*L10*$K$1</f>
        <v>2612718.9166294266</v>
      </c>
      <c r="F16" s="35">
        <f>4*$F$7*M10*$K$1</f>
        <v>3203345.4680800061</v>
      </c>
      <c r="G16" s="38"/>
      <c r="H16" s="55" t="s">
        <v>47</v>
      </c>
      <c r="I16" s="56"/>
      <c r="J16" s="56" t="s">
        <v>50</v>
      </c>
      <c r="K16" s="63">
        <f>K17*0.4</f>
        <v>6.909752681596224</v>
      </c>
      <c r="L16" s="56"/>
      <c r="M16" s="56"/>
      <c r="N16" s="57"/>
    </row>
    <row r="17" spans="1:15" x14ac:dyDescent="0.4">
      <c r="C17" s="14" t="s">
        <v>62</v>
      </c>
      <c r="D17" s="24">
        <f>4*$D$7*K11*$K$1</f>
        <v>1654407.2475623761</v>
      </c>
      <c r="E17" s="35">
        <f>4*$E$7*L11*$K$1</f>
        <v>2245033.7990129557</v>
      </c>
      <c r="F17" s="35">
        <f>4*$F$7*M11*$K$1</f>
        <v>2835660.3504635352</v>
      </c>
      <c r="G17" s="38"/>
      <c r="H17" s="86" t="s">
        <v>48</v>
      </c>
      <c r="I17" s="19"/>
      <c r="J17" s="19" t="s">
        <v>51</v>
      </c>
      <c r="K17" s="26">
        <f>2166*M17/(273.16+$D$2)</f>
        <v>17.27438170399056</v>
      </c>
      <c r="L17" s="92" t="s">
        <v>103</v>
      </c>
      <c r="M17" s="26">
        <f>0.61078 * EXP(17.269*$D$2/(237.3+$D$2))</f>
        <v>2.3380229641467558</v>
      </c>
      <c r="N17" s="88"/>
    </row>
    <row r="18" spans="1:15" x14ac:dyDescent="0.4">
      <c r="B18" t="s">
        <v>41</v>
      </c>
      <c r="C18" s="14"/>
      <c r="H18" s="86" t="s">
        <v>56</v>
      </c>
      <c r="I18" s="19"/>
      <c r="J18" s="19" t="s">
        <v>49</v>
      </c>
      <c r="K18" s="26">
        <f>K17-K16</f>
        <v>10.364629022394336</v>
      </c>
      <c r="L18" s="19" t="s">
        <v>52</v>
      </c>
      <c r="M18" s="19"/>
      <c r="N18" s="88"/>
    </row>
    <row r="19" spans="1:15" x14ac:dyDescent="0.4">
      <c r="C19" s="14" t="s">
        <v>19</v>
      </c>
      <c r="D19" s="12">
        <f t="shared" ref="D19:F20" si="2">SQRT(D10^2-D16)</f>
        <v>1203.0076109784402</v>
      </c>
      <c r="E19" s="15">
        <f t="shared" si="2"/>
        <v>1283.9844971618172</v>
      </c>
      <c r="F19" s="29">
        <f t="shared" si="2"/>
        <v>1389.7345446421048</v>
      </c>
      <c r="G19" s="28"/>
      <c r="H19" s="86"/>
      <c r="I19" s="19"/>
      <c r="J19" s="19"/>
      <c r="K19" s="26">
        <f>K18*1000</f>
        <v>10364.629022394336</v>
      </c>
      <c r="L19" s="19" t="s">
        <v>9</v>
      </c>
      <c r="M19" s="19"/>
      <c r="N19" s="88"/>
    </row>
    <row r="20" spans="1:15" x14ac:dyDescent="0.4">
      <c r="C20" s="14" t="s">
        <v>61</v>
      </c>
      <c r="D20" s="9">
        <f t="shared" si="2"/>
        <v>1167.4521623338089</v>
      </c>
      <c r="E20" s="16">
        <f t="shared" si="2"/>
        <v>1230.3194318370838</v>
      </c>
      <c r="F20" s="10">
        <f t="shared" si="2"/>
        <v>1321.2813084706247</v>
      </c>
      <c r="G20" s="23"/>
      <c r="H20" s="86"/>
      <c r="I20" s="19"/>
      <c r="J20" s="19"/>
      <c r="K20" s="87" t="s">
        <v>155</v>
      </c>
      <c r="L20" s="87" t="s">
        <v>156</v>
      </c>
      <c r="M20" s="87" t="s">
        <v>157</v>
      </c>
      <c r="N20" s="122"/>
    </row>
    <row r="21" spans="1:15" x14ac:dyDescent="0.4">
      <c r="H21" s="86" t="s">
        <v>46</v>
      </c>
      <c r="I21" s="171" t="s">
        <v>54</v>
      </c>
      <c r="J21" s="194" t="s">
        <v>159</v>
      </c>
      <c r="K21" s="26">
        <f t="shared" ref="K21:M22" si="3">$K$19/K13</f>
        <v>31.939635580776006</v>
      </c>
      <c r="L21" s="195">
        <f t="shared" si="3"/>
        <v>24.415695946347782</v>
      </c>
      <c r="M21" s="26">
        <f t="shared" si="3"/>
        <v>19.760714195933563</v>
      </c>
      <c r="N21" s="88"/>
    </row>
    <row r="22" spans="1:15" ht="17.5" thickBot="1" x14ac:dyDescent="0.45">
      <c r="B22" t="s">
        <v>60</v>
      </c>
      <c r="C22" s="14"/>
      <c r="E22" s="23"/>
      <c r="F22" s="23"/>
      <c r="G22" s="23"/>
      <c r="H22" s="66"/>
      <c r="I22" s="193" t="s">
        <v>55</v>
      </c>
      <c r="J22" s="196" t="s">
        <v>158</v>
      </c>
      <c r="K22" s="70">
        <f t="shared" si="3"/>
        <v>39.521428391867126</v>
      </c>
      <c r="L22" s="70">
        <f t="shared" si="3"/>
        <v>28.611543696945468</v>
      </c>
      <c r="M22" s="70">
        <f t="shared" si="3"/>
        <v>22.421963779797537</v>
      </c>
      <c r="N22" s="68"/>
    </row>
    <row r="23" spans="1:15" x14ac:dyDescent="0.4">
      <c r="A23" t="s">
        <v>151</v>
      </c>
      <c r="C23" s="14" t="s">
        <v>34</v>
      </c>
      <c r="D23" s="135">
        <f t="shared" ref="D23:F24" si="4">(D10-D19)/2/D13</f>
        <v>0.68807663955206955</v>
      </c>
      <c r="E23" s="172">
        <f t="shared" si="4"/>
        <v>0.62998841608310296</v>
      </c>
      <c r="F23" s="173">
        <f t="shared" si="4"/>
        <v>0.57700762482886558</v>
      </c>
      <c r="H23" t="s">
        <v>160</v>
      </c>
    </row>
    <row r="24" spans="1:15" x14ac:dyDescent="0.4">
      <c r="C24" s="14" t="s">
        <v>35</v>
      </c>
      <c r="D24" s="136">
        <f t="shared" si="4"/>
        <v>0.72624447201003661</v>
      </c>
      <c r="E24" s="3">
        <f t="shared" si="4"/>
        <v>0.6656168491281329</v>
      </c>
      <c r="F24" s="174">
        <f t="shared" si="4"/>
        <v>0.60934600686844986</v>
      </c>
      <c r="G24" s="34"/>
    </row>
    <row r="25" spans="1:15" x14ac:dyDescent="0.4">
      <c r="D25" s="1"/>
      <c r="E25" s="1"/>
    </row>
    <row r="26" spans="1:15" x14ac:dyDescent="0.4">
      <c r="A26" t="s">
        <v>152</v>
      </c>
      <c r="C26" s="64" t="s">
        <v>42</v>
      </c>
      <c r="D26" s="65" t="s">
        <v>33</v>
      </c>
      <c r="E26" s="65" t="s">
        <v>32</v>
      </c>
      <c r="F26" s="65" t="s">
        <v>31</v>
      </c>
      <c r="G26" s="34"/>
    </row>
    <row r="27" spans="1:15" x14ac:dyDescent="0.4">
      <c r="B27" s="39" t="s">
        <v>43</v>
      </c>
      <c r="C27" s="77" t="s">
        <v>19</v>
      </c>
      <c r="D27" s="24">
        <v>0.69</v>
      </c>
      <c r="E27" s="30">
        <v>0.63</v>
      </c>
      <c r="F27" s="25">
        <v>0.57999999999999996</v>
      </c>
    </row>
    <row r="28" spans="1:15" x14ac:dyDescent="0.4">
      <c r="A28" t="s">
        <v>45</v>
      </c>
      <c r="C28" s="51" t="s">
        <v>3</v>
      </c>
      <c r="D28" s="24">
        <v>0.73</v>
      </c>
      <c r="E28" s="30">
        <v>0.67</v>
      </c>
      <c r="F28" s="25">
        <v>0.61</v>
      </c>
    </row>
    <row r="29" spans="1:15" x14ac:dyDescent="0.4">
      <c r="D29" s="1"/>
      <c r="E29" s="1"/>
      <c r="F29" s="148"/>
    </row>
    <row r="30" spans="1:15" x14ac:dyDescent="0.4">
      <c r="A30" t="s">
        <v>63</v>
      </c>
      <c r="E30" s="78" t="s">
        <v>116</v>
      </c>
    </row>
    <row r="31" spans="1:15" ht="17.5" thickBot="1" x14ac:dyDescent="0.45">
      <c r="K31" s="78"/>
    </row>
    <row r="32" spans="1:15" ht="17.5" thickBot="1" x14ac:dyDescent="0.45">
      <c r="K32" s="186" t="s">
        <v>98</v>
      </c>
      <c r="L32" s="188" t="s">
        <v>155</v>
      </c>
      <c r="M32" s="138" t="s">
        <v>156</v>
      </c>
      <c r="N32" s="138" t="s">
        <v>157</v>
      </c>
      <c r="O32" s="189"/>
    </row>
    <row r="33" spans="11:15" x14ac:dyDescent="0.4">
      <c r="K33" s="190" t="s">
        <v>159</v>
      </c>
      <c r="L33" s="19">
        <v>140</v>
      </c>
      <c r="M33" s="19">
        <v>280</v>
      </c>
      <c r="N33" s="19">
        <v>420</v>
      </c>
      <c r="O33" s="88"/>
    </row>
    <row r="34" spans="11:15" ht="17.5" thickBot="1" x14ac:dyDescent="0.45">
      <c r="K34" s="191" t="s">
        <v>158</v>
      </c>
      <c r="L34" s="67">
        <v>140</v>
      </c>
      <c r="M34" s="67">
        <v>280</v>
      </c>
      <c r="N34" s="67">
        <v>420</v>
      </c>
      <c r="O34" s="68"/>
    </row>
    <row r="35" spans="11:15" ht="17.5" thickBot="1" x14ac:dyDescent="0.45">
      <c r="K35" s="192" t="s">
        <v>99</v>
      </c>
      <c r="L35" s="187">
        <v>165</v>
      </c>
    </row>
    <row r="36" spans="11:15" ht="17.5" thickBot="1" x14ac:dyDescent="0.45">
      <c r="K36" s="186" t="s">
        <v>100</v>
      </c>
      <c r="L36" s="188" t="s">
        <v>155</v>
      </c>
      <c r="M36" s="138" t="s">
        <v>156</v>
      </c>
      <c r="N36" s="138" t="s">
        <v>157</v>
      </c>
      <c r="O36" s="189"/>
    </row>
    <row r="37" spans="11:15" x14ac:dyDescent="0.4">
      <c r="K37" s="190" t="s">
        <v>159</v>
      </c>
      <c r="L37" s="19">
        <v>87.2</v>
      </c>
      <c r="M37" s="19">
        <v>87.2</v>
      </c>
      <c r="N37" s="19">
        <v>87.2</v>
      </c>
      <c r="O37" s="88"/>
    </row>
    <row r="38" spans="11:15" ht="17.5" thickBot="1" x14ac:dyDescent="0.45">
      <c r="K38" s="191" t="s">
        <v>158</v>
      </c>
      <c r="L38" s="67">
        <v>174.3</v>
      </c>
      <c r="M38" s="67">
        <v>174.3</v>
      </c>
      <c r="N38" s="67">
        <v>174.3</v>
      </c>
      <c r="O38" s="68"/>
    </row>
    <row r="39" spans="11:15" ht="17.5" thickBot="1" x14ac:dyDescent="0.45"/>
    <row r="40" spans="11:15" ht="17.5" thickBot="1" x14ac:dyDescent="0.45">
      <c r="K40" s="55" t="s">
        <v>101</v>
      </c>
      <c r="L40" s="188" t="s">
        <v>155</v>
      </c>
      <c r="M40" s="138" t="s">
        <v>156</v>
      </c>
      <c r="N40" s="138" t="s">
        <v>157</v>
      </c>
      <c r="O40" s="189"/>
    </row>
    <row r="41" spans="11:15" x14ac:dyDescent="0.4">
      <c r="K41" s="190" t="s">
        <v>159</v>
      </c>
      <c r="L41" s="19">
        <f t="shared" ref="L41:N42" si="5">$L$35+L33+L37</f>
        <v>392.2</v>
      </c>
      <c r="M41" s="19">
        <f t="shared" si="5"/>
        <v>532.20000000000005</v>
      </c>
      <c r="N41" s="19">
        <f t="shared" si="5"/>
        <v>672.2</v>
      </c>
      <c r="O41" s="88"/>
    </row>
    <row r="42" spans="11:15" ht="17.5" thickBot="1" x14ac:dyDescent="0.45">
      <c r="K42" s="191" t="s">
        <v>158</v>
      </c>
      <c r="L42" s="67">
        <f t="shared" si="5"/>
        <v>479.3</v>
      </c>
      <c r="M42" s="67">
        <f t="shared" si="5"/>
        <v>619.29999999999995</v>
      </c>
      <c r="N42" s="67">
        <f t="shared" si="5"/>
        <v>759.3</v>
      </c>
      <c r="O42" s="68"/>
    </row>
    <row r="44" spans="11:15" ht="17.5" thickBot="1" x14ac:dyDescent="0.45"/>
    <row r="45" spans="11:15" x14ac:dyDescent="0.4">
      <c r="K45" s="149" t="s">
        <v>117</v>
      </c>
      <c r="L45" s="153" t="s">
        <v>119</v>
      </c>
      <c r="M45" s="152" t="s">
        <v>118</v>
      </c>
    </row>
    <row r="46" spans="11:15" x14ac:dyDescent="0.4">
      <c r="K46" s="150">
        <v>200</v>
      </c>
      <c r="L46" s="19">
        <v>0.28699999999999998</v>
      </c>
      <c r="M46" s="88">
        <v>0.52</v>
      </c>
    </row>
    <row r="47" spans="11:15" x14ac:dyDescent="0.4">
      <c r="K47" s="150">
        <v>400</v>
      </c>
      <c r="L47" s="19">
        <v>0.36599999999999999</v>
      </c>
      <c r="M47" s="88">
        <v>0.63</v>
      </c>
    </row>
    <row r="48" spans="11:15" x14ac:dyDescent="0.4">
      <c r="K48" s="150">
        <v>600</v>
      </c>
      <c r="L48" s="19">
        <v>0.40300000000000002</v>
      </c>
      <c r="M48" s="88">
        <v>0.67</v>
      </c>
    </row>
    <row r="49" spans="11:13" x14ac:dyDescent="0.4">
      <c r="K49" s="150">
        <v>800</v>
      </c>
      <c r="L49" s="19">
        <v>0.42399999999999999</v>
      </c>
      <c r="M49" s="88">
        <v>0.69399999999999995</v>
      </c>
    </row>
    <row r="50" spans="11:13" x14ac:dyDescent="0.4">
      <c r="K50" s="150">
        <v>1000</v>
      </c>
      <c r="L50" s="19">
        <v>0.438</v>
      </c>
      <c r="M50" s="88">
        <v>0.70899999999999996</v>
      </c>
    </row>
    <row r="51" spans="11:13" ht="17.5" thickBot="1" x14ac:dyDescent="0.45">
      <c r="K51" s="151">
        <v>1200</v>
      </c>
      <c r="L51" s="67">
        <v>0.44800000000000001</v>
      </c>
      <c r="M51" s="68">
        <v>0.72</v>
      </c>
    </row>
  </sheetData>
  <phoneticPr fontId="1" type="noConversion"/>
  <hyperlinks>
    <hyperlink ref="M45" r:id="rId1" xr:uid="{00000000-0004-0000-0000-000000000000}"/>
    <hyperlink ref="L45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zoomScale="88" zoomScaleNormal="106" workbookViewId="0">
      <selection activeCell="A4" sqref="A4"/>
    </sheetView>
  </sheetViews>
  <sheetFormatPr defaultRowHeight="17" x14ac:dyDescent="0.4"/>
  <cols>
    <col min="5" max="5" width="12.26953125" customWidth="1"/>
    <col min="6" max="6" width="11.08984375" bestFit="1" customWidth="1"/>
    <col min="7" max="7" width="10.453125" customWidth="1"/>
    <col min="8" max="8" width="11.08984375" customWidth="1"/>
    <col min="9" max="9" width="10.36328125" customWidth="1"/>
    <col min="10" max="10" width="12.26953125" customWidth="1"/>
    <col min="11" max="11" width="13.26953125" customWidth="1"/>
    <col min="12" max="12" width="11.453125" customWidth="1"/>
    <col min="13" max="13" width="11.26953125" customWidth="1"/>
    <col min="15" max="15" width="9.08984375" bestFit="1" customWidth="1"/>
    <col min="16" max="16" width="12.26953125" bestFit="1" customWidth="1"/>
  </cols>
  <sheetData>
    <row r="1" spans="1:13" ht="17.5" thickBot="1" x14ac:dyDescent="0.45">
      <c r="A1" s="52" t="s">
        <v>89</v>
      </c>
      <c r="B1" s="138">
        <v>20</v>
      </c>
      <c r="C1" s="131" t="s">
        <v>90</v>
      </c>
      <c r="D1" s="140">
        <v>40</v>
      </c>
      <c r="E1" s="55" t="s">
        <v>0</v>
      </c>
      <c r="F1" s="164">
        <v>6.1524484519493061</v>
      </c>
      <c r="G1" s="56" t="s">
        <v>64</v>
      </c>
      <c r="H1" s="63">
        <f>F1*10000*3600/10^6</f>
        <v>221.48814427017501</v>
      </c>
      <c r="I1" s="57" t="s">
        <v>14</v>
      </c>
    </row>
    <row r="2" spans="1:13" ht="17.5" thickBot="1" x14ac:dyDescent="0.45">
      <c r="A2" s="52" t="s">
        <v>22</v>
      </c>
      <c r="B2" s="138">
        <v>25</v>
      </c>
      <c r="C2" s="129" t="s">
        <v>21</v>
      </c>
      <c r="D2" s="138">
        <v>5</v>
      </c>
      <c r="E2" s="129" t="s">
        <v>23</v>
      </c>
      <c r="F2" s="129">
        <f>$B$1+D2</f>
        <v>25</v>
      </c>
      <c r="G2" s="129" t="s">
        <v>24</v>
      </c>
      <c r="H2" s="129">
        <f>$B$2+D2</f>
        <v>30</v>
      </c>
      <c r="I2" s="129" t="s">
        <v>37</v>
      </c>
      <c r="J2" s="139" t="s">
        <v>1</v>
      </c>
      <c r="K2" s="116">
        <f>(2*F2^2*H2^2-F2^4)/H2^4</f>
        <v>0.90663580246913578</v>
      </c>
    </row>
    <row r="3" spans="1:13" ht="17.5" thickBot="1" x14ac:dyDescent="0.45">
      <c r="A3" s="93" t="s">
        <v>68</v>
      </c>
      <c r="B3" s="103">
        <v>2</v>
      </c>
      <c r="C3" s="93" t="s">
        <v>67</v>
      </c>
      <c r="D3" s="103">
        <v>7.0000000000000007E-2</v>
      </c>
      <c r="E3" s="66" t="s">
        <v>105</v>
      </c>
      <c r="F3" s="68"/>
      <c r="G3" s="67"/>
      <c r="H3" s="123">
        <f>D3*B3^((B1-20)/10)</f>
        <v>7.0000000000000007E-2</v>
      </c>
    </row>
    <row r="4" spans="1:13" x14ac:dyDescent="0.4">
      <c r="A4" s="55" t="s">
        <v>108</v>
      </c>
      <c r="B4" s="56" t="s">
        <v>109</v>
      </c>
      <c r="C4" s="85">
        <v>400</v>
      </c>
      <c r="D4" s="56" t="s">
        <v>83</v>
      </c>
      <c r="E4" s="102">
        <v>108.6</v>
      </c>
      <c r="F4" s="134" t="s">
        <v>107</v>
      </c>
      <c r="G4" s="124">
        <f>(1200-C4)/2/1200</f>
        <v>0.33333333333333331</v>
      </c>
      <c r="H4" t="s">
        <v>86</v>
      </c>
    </row>
    <row r="5" spans="1:13" ht="17.5" thickBot="1" x14ac:dyDescent="0.45">
      <c r="A5" s="66" t="s">
        <v>92</v>
      </c>
      <c r="B5" s="67"/>
      <c r="C5" s="67">
        <f>C4*1.83025</f>
        <v>732.1</v>
      </c>
      <c r="D5" s="67"/>
      <c r="E5" s="101">
        <f>E4*1.96</f>
        <v>212.85599999999999</v>
      </c>
      <c r="F5" s="66"/>
      <c r="G5" s="71">
        <f>(2352-C5)/2/2352</f>
        <v>0.34436649659863949</v>
      </c>
      <c r="H5" t="s">
        <v>87</v>
      </c>
    </row>
    <row r="6" spans="1:13" ht="17.5" thickBot="1" x14ac:dyDescent="0.45">
      <c r="A6" s="141" t="s">
        <v>106</v>
      </c>
      <c r="C6" s="78">
        <f>C5/C4</f>
        <v>1.8302500000000002</v>
      </c>
      <c r="D6" s="142"/>
      <c r="E6" s="78">
        <f>E5/E4</f>
        <v>1.96</v>
      </c>
      <c r="F6" s="143"/>
      <c r="H6" s="112" t="s">
        <v>36</v>
      </c>
      <c r="I6" s="102">
        <v>1</v>
      </c>
      <c r="J6" s="104" t="s">
        <v>27</v>
      </c>
      <c r="K6" s="105" t="s">
        <v>3</v>
      </c>
      <c r="L6" s="106" t="s">
        <v>15</v>
      </c>
      <c r="M6" s="107" t="s">
        <v>17</v>
      </c>
    </row>
    <row r="7" spans="1:13" x14ac:dyDescent="0.4">
      <c r="A7" s="55"/>
      <c r="B7" s="56"/>
      <c r="C7" s="56" t="s">
        <v>5</v>
      </c>
      <c r="D7" s="95" t="s">
        <v>6</v>
      </c>
      <c r="E7" s="95" t="s">
        <v>7</v>
      </c>
      <c r="F7" s="96" t="s">
        <v>20</v>
      </c>
      <c r="G7" s="33"/>
      <c r="H7" s="113" t="s">
        <v>12</v>
      </c>
      <c r="I7" s="114">
        <f>IF(I6&gt;=1,100,200-(I6*100))</f>
        <v>100</v>
      </c>
      <c r="J7" s="108" t="s">
        <v>13</v>
      </c>
      <c r="K7" s="49">
        <f>IF($B$8&gt;80,100,1000-$B$8*(1000-100)/80)</f>
        <v>100</v>
      </c>
      <c r="L7" s="82">
        <f>IF($B$8&gt;80,200,1200-$B$8*(1200-200)/80)</f>
        <v>200</v>
      </c>
      <c r="M7" s="109">
        <f>IF($B$8&gt;80,300,1400-$B$8*(1400-300)/80)</f>
        <v>300</v>
      </c>
    </row>
    <row r="8" spans="1:13" ht="17.5" thickBot="1" x14ac:dyDescent="0.45">
      <c r="A8" s="97" t="s">
        <v>4</v>
      </c>
      <c r="B8" s="87">
        <v>500</v>
      </c>
      <c r="C8" s="92" t="s">
        <v>65</v>
      </c>
      <c r="D8" s="87">
        <v>100</v>
      </c>
      <c r="E8" s="87">
        <v>100</v>
      </c>
      <c r="F8" s="122">
        <v>100</v>
      </c>
      <c r="G8" s="22"/>
      <c r="H8" s="115" t="s">
        <v>10</v>
      </c>
      <c r="I8" s="68">
        <f>1.65*I7</f>
        <v>165</v>
      </c>
      <c r="J8" s="110" t="s">
        <v>11</v>
      </c>
      <c r="K8" s="111">
        <f>1.4*K7</f>
        <v>140</v>
      </c>
      <c r="L8" s="89">
        <f>1.4*L7</f>
        <v>280</v>
      </c>
      <c r="M8" s="68">
        <f>M7*1.4</f>
        <v>420</v>
      </c>
    </row>
    <row r="9" spans="1:13" ht="17.5" thickBot="1" x14ac:dyDescent="0.45">
      <c r="A9" s="98"/>
      <c r="B9" s="67"/>
      <c r="C9" s="93" t="s">
        <v>2</v>
      </c>
      <c r="D9" s="99">
        <f>1/(1+D8/$B$8)</f>
        <v>0.83333333333333337</v>
      </c>
      <c r="E9" s="137">
        <f>1/(1+E8/$B$8)</f>
        <v>0.83333333333333337</v>
      </c>
      <c r="F9" s="71">
        <f>1/(1+F8/$B$8)</f>
        <v>0.83333333333333337</v>
      </c>
      <c r="G9" s="1"/>
    </row>
    <row r="10" spans="1:13" ht="17.5" thickBot="1" x14ac:dyDescent="0.45">
      <c r="A10" s="128" t="s">
        <v>149</v>
      </c>
      <c r="B10" s="129"/>
      <c r="C10" s="129"/>
      <c r="D10" s="130">
        <f>$F$1*$K$2*D9*$C$12</f>
        <v>1.5155424295491895</v>
      </c>
      <c r="E10" s="131">
        <f>F1*K2*E9*$C$12</f>
        <v>1.5155424295491895</v>
      </c>
      <c r="F10" s="132">
        <f>$F$1*$K$2*F9*$C$12</f>
        <v>1.5155424295491895</v>
      </c>
      <c r="G10" s="117" t="s">
        <v>26</v>
      </c>
      <c r="H10" s="118" t="s">
        <v>57</v>
      </c>
      <c r="I10" s="96" t="s">
        <v>77</v>
      </c>
      <c r="J10" s="55" t="s">
        <v>53</v>
      </c>
      <c r="K10" s="56"/>
      <c r="L10" s="56"/>
      <c r="M10" s="57"/>
    </row>
    <row r="11" spans="1:13" x14ac:dyDescent="0.4">
      <c r="A11" s="19" t="s">
        <v>8</v>
      </c>
      <c r="B11" s="127" t="s">
        <v>93</v>
      </c>
      <c r="C11" t="s">
        <v>113</v>
      </c>
      <c r="D11" s="27" t="s">
        <v>96</v>
      </c>
      <c r="G11" s="119" t="s">
        <v>15</v>
      </c>
      <c r="H11" s="81">
        <f>IF(C5&gt;=2352,400,400*C5/2352)</f>
        <v>124.50680272108843</v>
      </c>
      <c r="I11" s="94">
        <f>H11*1.4</f>
        <v>174.3095238095238</v>
      </c>
      <c r="J11" s="97" t="s">
        <v>74</v>
      </c>
      <c r="K11" s="28">
        <f>$I$7+$H$11+K7</f>
        <v>324.50680272108843</v>
      </c>
      <c r="L11" s="28">
        <f>$I$7+$H$11+L7</f>
        <v>424.50680272108843</v>
      </c>
      <c r="M11" s="69">
        <f>$I$7+$H$11+M7</f>
        <v>524.50680272108843</v>
      </c>
    </row>
    <row r="12" spans="1:13" ht="17.5" thickBot="1" x14ac:dyDescent="0.45">
      <c r="B12" s="79">
        <v>440</v>
      </c>
      <c r="C12">
        <f>1/(1+B12/$E$5)</f>
        <v>0.32603820750670898</v>
      </c>
      <c r="D12" s="7">
        <f>$C$5+$B$12+K15*D10</f>
        <v>1898.5139202203507</v>
      </c>
      <c r="E12" s="7">
        <f>$C$5+$B$12+L15*E10</f>
        <v>2110.6898603572372</v>
      </c>
      <c r="F12" s="7">
        <f>$C$5+$B$12+M15*F10</f>
        <v>2322.8658004941235</v>
      </c>
      <c r="G12" s="120" t="s">
        <v>3</v>
      </c>
      <c r="H12" s="121">
        <f>IF(C5&gt;=2352,200,200*C5/2352)</f>
        <v>62.253401360544217</v>
      </c>
      <c r="I12" s="71">
        <f>H12*1.4</f>
        <v>87.154761904761898</v>
      </c>
      <c r="J12" s="98" t="s">
        <v>75</v>
      </c>
      <c r="K12" s="61">
        <f>$H$12+$I$7+K7</f>
        <v>262.25340136054422</v>
      </c>
      <c r="L12" s="61">
        <f>$H$12+$I$7+L7</f>
        <v>362.25340136054422</v>
      </c>
      <c r="M12" s="62">
        <f>$H$12+$I$7+M7</f>
        <v>462.25340136054422</v>
      </c>
    </row>
    <row r="13" spans="1:13" ht="17.5" thickBot="1" x14ac:dyDescent="0.45">
      <c r="B13" s="126">
        <v>440</v>
      </c>
      <c r="C13">
        <f>1/(1+B13/$E$5)</f>
        <v>0.32603820750670898</v>
      </c>
      <c r="D13" s="9">
        <f>$C$5+$B$13+K16*D10</f>
        <v>1766.4271806164268</v>
      </c>
      <c r="E13" s="9">
        <f>$C$5+$B$13+L16*E10</f>
        <v>1978.6031207533133</v>
      </c>
      <c r="F13" s="9">
        <f>$C$5+$B$13+M16*F10</f>
        <v>2190.7790608901996</v>
      </c>
      <c r="G13" s="26"/>
    </row>
    <row r="14" spans="1:13" ht="17.5" thickBot="1" x14ac:dyDescent="0.45">
      <c r="A14" s="18" t="s">
        <v>66</v>
      </c>
      <c r="B14" s="54">
        <v>880</v>
      </c>
      <c r="C14" s="125">
        <f>1/(1+B14/$E$5)</f>
        <v>0.19477039975989519</v>
      </c>
      <c r="E14" s="17"/>
      <c r="F14" s="4"/>
      <c r="G14" s="26"/>
      <c r="J14" s="55" t="s">
        <v>88</v>
      </c>
      <c r="K14" s="56"/>
      <c r="L14" s="56"/>
      <c r="M14" s="57"/>
    </row>
    <row r="15" spans="1:13" x14ac:dyDescent="0.4">
      <c r="A15" t="s">
        <v>94</v>
      </c>
      <c r="C15" s="14" t="s">
        <v>15</v>
      </c>
      <c r="D15" s="74">
        <f t="shared" ref="D15:F16" si="0">K15</f>
        <v>479.3095238095238</v>
      </c>
      <c r="E15" s="74">
        <f t="shared" si="0"/>
        <v>619.30952380952385</v>
      </c>
      <c r="F15" s="75">
        <f t="shared" si="0"/>
        <v>759.30952380952385</v>
      </c>
      <c r="J15" s="97" t="s">
        <v>74</v>
      </c>
      <c r="K15" s="47">
        <f>$I$8+K8+$I$11</f>
        <v>479.3095238095238</v>
      </c>
      <c r="L15" s="47">
        <f>$I$8+L8+$I$11</f>
        <v>619.30952380952385</v>
      </c>
      <c r="M15" s="59">
        <f>$I$8+M8+$I$11</f>
        <v>759.30952380952385</v>
      </c>
    </row>
    <row r="16" spans="1:13" ht="17.5" thickBot="1" x14ac:dyDescent="0.45">
      <c r="C16" s="14" t="s">
        <v>3</v>
      </c>
      <c r="D16" s="60">
        <f t="shared" si="0"/>
        <v>392.15476190476193</v>
      </c>
      <c r="E16" s="60">
        <f t="shared" si="0"/>
        <v>532.15476190476193</v>
      </c>
      <c r="F16" s="76">
        <f t="shared" si="0"/>
        <v>672.15476190476193</v>
      </c>
      <c r="J16" s="98" t="s">
        <v>76</v>
      </c>
      <c r="K16" s="61">
        <f>$I$8+K8+$I$12</f>
        <v>392.15476190476193</v>
      </c>
      <c r="L16" s="61">
        <f>$I$8+L8+$I$12</f>
        <v>532.15476190476193</v>
      </c>
      <c r="M16" s="62">
        <f>$I$8+M8+$I$12</f>
        <v>672.15476190476193</v>
      </c>
    </row>
    <row r="17" spans="1:19" ht="17.5" thickBot="1" x14ac:dyDescent="0.45"/>
    <row r="18" spans="1:19" x14ac:dyDescent="0.4">
      <c r="A18" t="s">
        <v>95</v>
      </c>
      <c r="C18" s="14"/>
      <c r="G18" s="38"/>
      <c r="H18" s="55" t="s">
        <v>80</v>
      </c>
      <c r="I18" s="63">
        <f>0.61078 * EXP(17.269*$B$1/(237.3+$B$1))</f>
        <v>2.3380229641467558</v>
      </c>
      <c r="J18" s="56" t="s">
        <v>81</v>
      </c>
      <c r="K18" s="63">
        <f>2166*I18/(273.16+$B$1)</f>
        <v>17.27438170399056</v>
      </c>
      <c r="L18" s="56" t="s">
        <v>82</v>
      </c>
      <c r="M18" s="56"/>
      <c r="N18" s="57"/>
    </row>
    <row r="19" spans="1:19" x14ac:dyDescent="0.4">
      <c r="C19" s="14" t="s">
        <v>15</v>
      </c>
      <c r="D19" s="24">
        <f>4*$D$10*K15*$C$5</f>
        <v>2127230.523973275</v>
      </c>
      <c r="E19" s="35">
        <f>4*$E$10*L15*$C$5</f>
        <v>2748566.547070134</v>
      </c>
      <c r="F19" s="35">
        <f>4*$F$10*M15*$C$5</f>
        <v>3369902.5701669925</v>
      </c>
      <c r="G19" s="38"/>
      <c r="H19" s="86" t="s">
        <v>48</v>
      </c>
      <c r="I19" s="19"/>
      <c r="J19" s="19" t="s">
        <v>50</v>
      </c>
      <c r="K19" s="81">
        <f>K18*$D$1/100</f>
        <v>6.909752681596224</v>
      </c>
      <c r="L19" s="19" t="s">
        <v>82</v>
      </c>
      <c r="M19" s="19"/>
      <c r="N19" s="88"/>
      <c r="P19" s="1"/>
    </row>
    <row r="20" spans="1:19" x14ac:dyDescent="0.4">
      <c r="C20" s="14" t="s">
        <v>3</v>
      </c>
      <c r="D20" s="24">
        <f>4*$D$10*K16*$C$5</f>
        <v>1740427.7157171445</v>
      </c>
      <c r="E20" s="35">
        <f>4*$E$10*L16*$C$5</f>
        <v>2361763.7388140028</v>
      </c>
      <c r="F20" s="35">
        <f>4*$F$10*M16*$C$5</f>
        <v>2983099.7619108614</v>
      </c>
      <c r="H20" s="86" t="s">
        <v>56</v>
      </c>
      <c r="I20" s="19"/>
      <c r="J20" s="19" t="s">
        <v>49</v>
      </c>
      <c r="K20" s="91">
        <f>K18-K19</f>
        <v>10.364629022394336</v>
      </c>
      <c r="L20" s="19" t="s">
        <v>52</v>
      </c>
      <c r="M20" s="38">
        <f>K20*1000</f>
        <v>10364.629022394336</v>
      </c>
      <c r="N20" s="88" t="s">
        <v>9</v>
      </c>
      <c r="O20" s="90"/>
    </row>
    <row r="21" spans="1:19" ht="17.5" thickBot="1" x14ac:dyDescent="0.45">
      <c r="A21" t="s">
        <v>41</v>
      </c>
      <c r="C21" s="14"/>
      <c r="G21" s="28"/>
      <c r="H21" s="86"/>
      <c r="I21" s="19"/>
      <c r="J21" s="19"/>
      <c r="K21" s="19"/>
      <c r="L21" s="19"/>
      <c r="M21" s="19"/>
      <c r="N21" s="88"/>
      <c r="O21" s="90"/>
    </row>
    <row r="22" spans="1:19" x14ac:dyDescent="0.4">
      <c r="C22" s="14" t="s">
        <v>15</v>
      </c>
      <c r="D22" s="12">
        <f t="shared" ref="D22:F23" si="1">SQRT(D12^2-D19)</f>
        <v>1215.3701416840752</v>
      </c>
      <c r="E22" s="15">
        <f t="shared" si="1"/>
        <v>1306.3097410433404</v>
      </c>
      <c r="F22" s="29">
        <f t="shared" si="1"/>
        <v>1423.3070494233534</v>
      </c>
      <c r="G22" s="23"/>
      <c r="H22" s="55" t="s">
        <v>46</v>
      </c>
      <c r="I22" s="56" t="s">
        <v>78</v>
      </c>
      <c r="J22" s="56"/>
      <c r="K22" s="95" t="s">
        <v>3</v>
      </c>
      <c r="L22" s="95" t="s">
        <v>15</v>
      </c>
      <c r="M22" s="95" t="s">
        <v>17</v>
      </c>
      <c r="N22" s="57"/>
    </row>
    <row r="23" spans="1:19" x14ac:dyDescent="0.4">
      <c r="C23" s="14" t="s">
        <v>3</v>
      </c>
      <c r="D23" s="9">
        <f t="shared" si="1"/>
        <v>1174.6647473655426</v>
      </c>
      <c r="E23" s="16">
        <f t="shared" si="1"/>
        <v>1246.2369640805668</v>
      </c>
      <c r="F23" s="10">
        <f t="shared" si="1"/>
        <v>1347.7437188590729</v>
      </c>
      <c r="G23" s="23"/>
      <c r="H23" s="86"/>
      <c r="I23" s="144" t="s">
        <v>79</v>
      </c>
      <c r="J23" s="92" t="s">
        <v>15</v>
      </c>
      <c r="K23" s="26">
        <f t="shared" ref="K23:M24" si="2">$M$20/K11</f>
        <v>31.939635580776006</v>
      </c>
      <c r="L23" s="81">
        <f t="shared" si="2"/>
        <v>24.415695946347782</v>
      </c>
      <c r="M23" s="26">
        <f t="shared" si="2"/>
        <v>19.760714195933563</v>
      </c>
      <c r="N23" s="88"/>
    </row>
    <row r="24" spans="1:19" ht="17.5" thickBot="1" x14ac:dyDescent="0.45">
      <c r="A24" t="s">
        <v>60</v>
      </c>
      <c r="C24" s="14"/>
      <c r="E24" s="23"/>
      <c r="F24" s="23"/>
      <c r="H24" s="66"/>
      <c r="I24" s="67"/>
      <c r="J24" s="93" t="s">
        <v>3</v>
      </c>
      <c r="K24" s="70">
        <f t="shared" si="2"/>
        <v>39.521428391867126</v>
      </c>
      <c r="L24" s="70">
        <f t="shared" si="2"/>
        <v>28.611543696945468</v>
      </c>
      <c r="M24" s="70">
        <f t="shared" si="2"/>
        <v>22.421963779797537</v>
      </c>
      <c r="N24" s="68"/>
    </row>
    <row r="25" spans="1:19" x14ac:dyDescent="0.4">
      <c r="A25" t="s">
        <v>44</v>
      </c>
      <c r="C25" s="14" t="s">
        <v>15</v>
      </c>
      <c r="D25" s="135">
        <f>(D12-D22)/2/D15</f>
        <v>0.71263321987292161</v>
      </c>
      <c r="E25" s="145">
        <f t="shared" ref="E25:F25" si="3">(E12-E22)/2/E15</f>
        <v>0.64941688153442123</v>
      </c>
      <c r="F25" s="135">
        <f t="shared" si="3"/>
        <v>0.59235313325032679</v>
      </c>
      <c r="G25" s="34"/>
    </row>
    <row r="26" spans="1:19" x14ac:dyDescent="0.4">
      <c r="C26" s="14" t="s">
        <v>3</v>
      </c>
      <c r="D26" s="136">
        <f>(D13-D23)/2/D16</f>
        <v>0.75450114436529359</v>
      </c>
      <c r="E26" s="136">
        <f t="shared" ref="E26:F26" si="4">(E13-E23)/2/E16</f>
        <v>0.68811388067952284</v>
      </c>
      <c r="F26" s="136">
        <f t="shared" si="4"/>
        <v>0.62711401436934022</v>
      </c>
      <c r="H26" t="s">
        <v>70</v>
      </c>
      <c r="I26" s="31">
        <f>E25</f>
        <v>0.64941688153442123</v>
      </c>
      <c r="J26" t="s">
        <v>71</v>
      </c>
      <c r="K26" s="80">
        <f>G4*I26</f>
        <v>0.21647229384480707</v>
      </c>
      <c r="L26" s="84" t="s">
        <v>69</v>
      </c>
    </row>
    <row r="27" spans="1:19" x14ac:dyDescent="0.4">
      <c r="A27" t="s">
        <v>148</v>
      </c>
      <c r="E27">
        <v>0.65</v>
      </c>
      <c r="J27" t="s">
        <v>72</v>
      </c>
      <c r="K27" s="83">
        <f>H3</f>
        <v>7.0000000000000007E-2</v>
      </c>
    </row>
    <row r="28" spans="1:19" x14ac:dyDescent="0.4">
      <c r="H28" s="34"/>
      <c r="J28" t="s">
        <v>73</v>
      </c>
      <c r="K28" s="80">
        <f>I26-K26-K27</f>
        <v>0.36294458768961418</v>
      </c>
      <c r="O28" s="100" t="s">
        <v>84</v>
      </c>
      <c r="R28" s="100" t="s">
        <v>85</v>
      </c>
      <c r="S28" s="33"/>
    </row>
    <row r="29" spans="1:19" x14ac:dyDescent="0.4">
      <c r="O29" s="86">
        <v>800</v>
      </c>
      <c r="P29" s="94">
        <f t="shared" ref="P29:P37" si="5">(2352-O29)/2352/2</f>
        <v>0.32993197278911562</v>
      </c>
      <c r="R29" s="86">
        <v>400</v>
      </c>
      <c r="S29" s="94">
        <f t="shared" ref="S29:S37" si="6">(1200-R29)/1200/2</f>
        <v>0.33333333333333331</v>
      </c>
    </row>
    <row r="30" spans="1:19" x14ac:dyDescent="0.4">
      <c r="K30" s="78"/>
      <c r="O30" s="86">
        <v>1000</v>
      </c>
      <c r="P30" s="94">
        <f t="shared" si="5"/>
        <v>0.28741496598639454</v>
      </c>
      <c r="R30" s="86">
        <v>500</v>
      </c>
      <c r="S30" s="94">
        <f t="shared" si="6"/>
        <v>0.29166666666666669</v>
      </c>
    </row>
    <row r="31" spans="1:19" x14ac:dyDescent="0.4">
      <c r="K31" s="78"/>
      <c r="O31" s="86">
        <v>1200</v>
      </c>
      <c r="P31" s="94">
        <f t="shared" si="5"/>
        <v>0.24489795918367346</v>
      </c>
      <c r="R31" s="86">
        <v>600</v>
      </c>
      <c r="S31" s="94">
        <f t="shared" si="6"/>
        <v>0.25</v>
      </c>
    </row>
    <row r="32" spans="1:19" x14ac:dyDescent="0.4">
      <c r="K32" s="78"/>
      <c r="O32" s="86">
        <v>1400</v>
      </c>
      <c r="P32" s="94">
        <f t="shared" si="5"/>
        <v>0.20238095238095238</v>
      </c>
      <c r="R32" s="86">
        <v>700</v>
      </c>
      <c r="S32" s="94">
        <f t="shared" si="6"/>
        <v>0.20833333333333334</v>
      </c>
    </row>
    <row r="33" spans="11:19" x14ac:dyDescent="0.4">
      <c r="K33" s="78"/>
      <c r="O33" s="86">
        <v>1600</v>
      </c>
      <c r="P33" s="94">
        <f t="shared" si="5"/>
        <v>0.1598639455782313</v>
      </c>
      <c r="R33" s="86">
        <v>800</v>
      </c>
      <c r="S33" s="94">
        <f t="shared" si="6"/>
        <v>0.16666666666666666</v>
      </c>
    </row>
    <row r="34" spans="11:19" x14ac:dyDescent="0.4">
      <c r="K34" s="78"/>
      <c r="O34" s="86">
        <v>1800</v>
      </c>
      <c r="P34" s="94">
        <f t="shared" si="5"/>
        <v>0.11734693877551021</v>
      </c>
      <c r="R34" s="86">
        <v>900</v>
      </c>
      <c r="S34" s="94">
        <f t="shared" si="6"/>
        <v>0.125</v>
      </c>
    </row>
    <row r="35" spans="11:19" x14ac:dyDescent="0.4">
      <c r="O35" s="86">
        <v>2000</v>
      </c>
      <c r="P35" s="94">
        <f t="shared" si="5"/>
        <v>7.4829931972789115E-2</v>
      </c>
      <c r="R35" s="86">
        <v>1000</v>
      </c>
      <c r="S35" s="94">
        <f t="shared" si="6"/>
        <v>8.3333333333333329E-2</v>
      </c>
    </row>
    <row r="36" spans="11:19" x14ac:dyDescent="0.4">
      <c r="K36" s="78"/>
      <c r="O36" s="86">
        <v>2200</v>
      </c>
      <c r="P36" s="94">
        <f t="shared" si="5"/>
        <v>3.2312925170068028E-2</v>
      </c>
      <c r="R36" s="86">
        <v>1100</v>
      </c>
      <c r="S36" s="94">
        <f t="shared" si="6"/>
        <v>4.1666666666666664E-2</v>
      </c>
    </row>
    <row r="37" spans="11:19" ht="17.5" thickBot="1" x14ac:dyDescent="0.45">
      <c r="K37" s="78"/>
      <c r="O37" s="66">
        <v>2352</v>
      </c>
      <c r="P37" s="71">
        <f t="shared" si="5"/>
        <v>0</v>
      </c>
      <c r="R37" s="66">
        <v>1200</v>
      </c>
      <c r="S37" s="71">
        <f t="shared" si="6"/>
        <v>0</v>
      </c>
    </row>
    <row r="38" spans="11:19" x14ac:dyDescent="0.4">
      <c r="K38" s="78"/>
    </row>
    <row r="49" spans="15:15" x14ac:dyDescent="0.4">
      <c r="O49" s="1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0"/>
  <sheetViews>
    <sheetView tabSelected="1" zoomScale="73" zoomScaleNormal="70" workbookViewId="0">
      <pane xSplit="1" topLeftCell="S1" activePane="topRight" state="frozen"/>
      <selection activeCell="A2" sqref="A2"/>
      <selection pane="topRight" activeCell="C38" sqref="C38"/>
    </sheetView>
  </sheetViews>
  <sheetFormatPr defaultRowHeight="17" x14ac:dyDescent="0.4"/>
  <cols>
    <col min="1" max="1" width="6.6328125" customWidth="1"/>
    <col min="2" max="2" width="6.26953125" customWidth="1"/>
    <col min="3" max="3" width="7.36328125" customWidth="1"/>
    <col min="5" max="5" width="7" customWidth="1"/>
    <col min="18" max="18" width="9.90625" customWidth="1"/>
    <col min="22" max="22" width="6.36328125" customWidth="1"/>
    <col min="23" max="23" width="8.08984375" customWidth="1"/>
    <col min="24" max="24" width="8" customWidth="1"/>
    <col min="28" max="28" width="11.90625" customWidth="1"/>
    <col min="29" max="29" width="10.453125" customWidth="1"/>
    <col min="30" max="30" width="9.6328125" bestFit="1" customWidth="1"/>
    <col min="31" max="31" width="2.90625" customWidth="1"/>
    <col min="33" max="33" width="12.08984375" customWidth="1"/>
    <col min="40" max="40" width="12.26953125" customWidth="1"/>
    <col min="41" max="41" width="11.08984375" bestFit="1" customWidth="1"/>
    <col min="42" max="42" width="4.7265625" customWidth="1"/>
    <col min="43" max="43" width="11.08984375" customWidth="1"/>
    <col min="44" max="44" width="10.36328125" customWidth="1"/>
    <col min="45" max="45" width="12.26953125" customWidth="1"/>
    <col min="46" max="46" width="13.26953125" customWidth="1"/>
    <col min="47" max="47" width="11.453125" customWidth="1"/>
    <col min="48" max="48" width="11.26953125" customWidth="1"/>
    <col min="50" max="50" width="9.08984375" bestFit="1" customWidth="1"/>
    <col min="51" max="51" width="12.26953125" bestFit="1" customWidth="1"/>
  </cols>
  <sheetData>
    <row r="1" spans="1:33" x14ac:dyDescent="0.4">
      <c r="A1" t="s">
        <v>138</v>
      </c>
      <c r="C1" t="s">
        <v>139</v>
      </c>
      <c r="D1" s="2">
        <v>3.1231362626591497</v>
      </c>
      <c r="E1" s="2"/>
      <c r="G1" t="s">
        <v>68</v>
      </c>
      <c r="H1" s="2">
        <v>2</v>
      </c>
      <c r="I1" t="s">
        <v>140</v>
      </c>
      <c r="J1" s="2">
        <v>7.0000000000000007E-2</v>
      </c>
      <c r="L1" t="s">
        <v>141</v>
      </c>
      <c r="M1" s="2">
        <v>440</v>
      </c>
      <c r="T1" s="160" t="s">
        <v>145</v>
      </c>
      <c r="U1" s="161" t="s">
        <v>150</v>
      </c>
      <c r="Y1" t="s">
        <v>144</v>
      </c>
      <c r="AB1" s="11" t="s">
        <v>146</v>
      </c>
      <c r="AD1" t="s">
        <v>143</v>
      </c>
    </row>
    <row r="2" spans="1:33" ht="20" x14ac:dyDescent="0.4">
      <c r="A2" t="s">
        <v>120</v>
      </c>
      <c r="B2" t="s">
        <v>153</v>
      </c>
      <c r="C2" t="s">
        <v>90</v>
      </c>
      <c r="D2" t="s">
        <v>121</v>
      </c>
      <c r="E2" t="s">
        <v>154</v>
      </c>
      <c r="F2" t="s">
        <v>125</v>
      </c>
      <c r="G2" t="s">
        <v>124</v>
      </c>
      <c r="H2" t="s">
        <v>123</v>
      </c>
      <c r="I2" t="s">
        <v>122</v>
      </c>
      <c r="J2" t="s">
        <v>126</v>
      </c>
      <c r="K2" t="s">
        <v>127</v>
      </c>
      <c r="L2" t="s">
        <v>132</v>
      </c>
      <c r="M2" t="s">
        <v>128</v>
      </c>
      <c r="N2" t="s">
        <v>131</v>
      </c>
      <c r="O2" t="s">
        <v>129</v>
      </c>
      <c r="P2" t="s">
        <v>130</v>
      </c>
      <c r="Q2" t="s">
        <v>2</v>
      </c>
      <c r="R2" t="s">
        <v>137</v>
      </c>
      <c r="S2" t="s">
        <v>133</v>
      </c>
      <c r="T2" s="162" t="s">
        <v>107</v>
      </c>
      <c r="U2" s="162" t="s">
        <v>161</v>
      </c>
      <c r="V2" t="s">
        <v>10</v>
      </c>
      <c r="W2" t="s">
        <v>11</v>
      </c>
      <c r="X2" t="s">
        <v>77</v>
      </c>
      <c r="Y2" t="s">
        <v>134</v>
      </c>
      <c r="Z2" t="s">
        <v>135</v>
      </c>
      <c r="AA2" s="11" t="s">
        <v>147</v>
      </c>
      <c r="AB2" s="11" t="s">
        <v>136</v>
      </c>
      <c r="AC2" s="11" t="s">
        <v>142</v>
      </c>
      <c r="AD2" s="162" t="s">
        <v>162</v>
      </c>
      <c r="AF2" t="s">
        <v>163</v>
      </c>
      <c r="AG2" t="s">
        <v>164</v>
      </c>
    </row>
    <row r="3" spans="1:33" x14ac:dyDescent="0.4">
      <c r="A3">
        <v>1</v>
      </c>
      <c r="B3">
        <v>11.8</v>
      </c>
      <c r="C3">
        <v>91</v>
      </c>
      <c r="D3">
        <v>2.2999999999999998</v>
      </c>
      <c r="E3" s="157">
        <f>0.61121*EXP((18.678-(B3/234.5))*(B3/(257.14+B3)))*(1-C3/100)</f>
        <v>0.12456183921535328</v>
      </c>
      <c r="F3">
        <v>0</v>
      </c>
      <c r="G3">
        <v>400</v>
      </c>
      <c r="H3" s="1">
        <f>F3*10^6/3600</f>
        <v>0</v>
      </c>
      <c r="I3">
        <f>G3*1.96</f>
        <v>784</v>
      </c>
      <c r="J3" s="1">
        <f>0.61078 * EXP(17.269*B3/(237.3+B3))</f>
        <v>1.3840628945264886</v>
      </c>
      <c r="K3" s="1">
        <f>2166*J3/(273.16+B3)</f>
        <v>10.520354539389297</v>
      </c>
      <c r="L3" s="1">
        <f>K3*C3/100</f>
        <v>9.5735226308442591</v>
      </c>
      <c r="M3">
        <f>IF(H3&gt;80,200,1200-H3*(1200-200)/80)</f>
        <v>1200</v>
      </c>
      <c r="N3">
        <f>IF(D3&gt;=1,100,200-(D3*100))</f>
        <v>100</v>
      </c>
      <c r="O3" s="158">
        <f>IF(I3&gt;=2352,400,400*I3/2352)</f>
        <v>133.33333333333334</v>
      </c>
      <c r="P3" s="1">
        <f>(K3-L3)/SUM(M3:O3)*1000</f>
        <v>0.66058040131049156</v>
      </c>
      <c r="Q3">
        <f>IF(H3&gt;0,1/(1+200/H3),0)</f>
        <v>0</v>
      </c>
      <c r="R3" s="157">
        <f>IF(I3&gt;0,1/(1+440/I3),0)</f>
        <v>0.64052287581699352</v>
      </c>
      <c r="S3" s="157">
        <f t="shared" ref="S3:S26" si="0">(2*(B3+5)^2*30^2-(B3+5)^4)/(30)^4</f>
        <v>0.52885504000000005</v>
      </c>
      <c r="T3" s="157">
        <f t="shared" ref="T3:T26" si="1">(2352-I3)/2/2352</f>
        <v>0.33333333333333331</v>
      </c>
      <c r="U3" s="157">
        <f t="shared" ref="U3:U26" si="2">$J$1*$H$1^((B3-20)/10)</f>
        <v>3.965093598535295E-2</v>
      </c>
      <c r="V3">
        <f t="shared" ref="V3:V26" si="3">N3*1.65</f>
        <v>165</v>
      </c>
      <c r="W3">
        <f t="shared" ref="W3:W26" si="4">M3*1.4</f>
        <v>1680</v>
      </c>
      <c r="X3" s="1">
        <f t="shared" ref="X3:X26" si="5">O3*1.4</f>
        <v>186.66666666666666</v>
      </c>
      <c r="Y3" s="1">
        <f>SUM(V3:X3)</f>
        <v>2031.6666666666667</v>
      </c>
      <c r="Z3">
        <f>$D$1*S3*R3*Q3</f>
        <v>0</v>
      </c>
      <c r="AA3">
        <f>I3+$M$1+Z3*Y3</f>
        <v>1224</v>
      </c>
      <c r="AB3" s="158">
        <f t="shared" ref="AB3:AB26" si="6">4*Y3*I3*Z3</f>
        <v>0</v>
      </c>
      <c r="AC3" s="158">
        <f>(AA3^2-AB3)</f>
        <v>1498176</v>
      </c>
      <c r="AD3">
        <f>(AA3-SQRT(AC3))/2/Y3</f>
        <v>0</v>
      </c>
      <c r="AF3">
        <f>AD3*T3</f>
        <v>0</v>
      </c>
      <c r="AG3" s="159">
        <f>AD3-AF3-U3</f>
        <v>-3.965093598535295E-2</v>
      </c>
    </row>
    <row r="4" spans="1:33" x14ac:dyDescent="0.4">
      <c r="A4">
        <v>2</v>
      </c>
      <c r="B4">
        <v>11.4</v>
      </c>
      <c r="C4">
        <v>92</v>
      </c>
      <c r="D4">
        <v>2.1</v>
      </c>
      <c r="E4" s="157">
        <f t="shared" ref="E4:E26" si="7">0.61121*EXP((18.678-(B4/234.5))*(B4/(257.14+B4)))*(1-C4/100)</f>
        <v>0.10783070793282448</v>
      </c>
      <c r="F4">
        <v>0</v>
      </c>
      <c r="G4">
        <v>400</v>
      </c>
      <c r="H4" s="1">
        <f t="shared" ref="H4:H26" si="8">F4*10^6/3600</f>
        <v>0</v>
      </c>
      <c r="I4">
        <f t="shared" ref="I4:I26" si="9">G4*1.96</f>
        <v>784</v>
      </c>
      <c r="J4" s="1">
        <f t="shared" ref="J4:J6" si="10">0.61078 * EXP(17.269*B4/(237.3+B4))</f>
        <v>1.3479220434620023</v>
      </c>
      <c r="K4" s="1">
        <f t="shared" ref="K4:K6" si="11">2166*J4/(273.16+B4)</f>
        <v>10.260047603804811</v>
      </c>
      <c r="L4" s="1">
        <f t="shared" ref="L4:L6" si="12">K4*C4/100</f>
        <v>9.4392437955004258</v>
      </c>
      <c r="M4">
        <f t="shared" ref="M4:M6" si="13">IF(H4&gt;80,200,1200-H4*(1200-200)/80)</f>
        <v>1200</v>
      </c>
      <c r="N4">
        <f t="shared" ref="N4:N6" si="14">IF(D4&gt;=1,100,200-(D4*100))</f>
        <v>100</v>
      </c>
      <c r="O4" s="158">
        <f t="shared" ref="O4:O6" si="15">IF(I4&gt;=2352,400,400*I4/2352)</f>
        <v>133.33333333333334</v>
      </c>
      <c r="P4" s="1">
        <f t="shared" ref="P4:P6" si="16">(K4-L4)/SUM(M4:O4)*1000</f>
        <v>0.57265381974724539</v>
      </c>
      <c r="Q4">
        <f t="shared" ref="Q4:Q26" si="17">IF(H4&gt;0,1/(1+200/H4),0)</f>
        <v>0</v>
      </c>
      <c r="R4" s="157">
        <f t="shared" ref="R4:R26" si="18">IF(I4&gt;0,1/(1+440/I4),0)</f>
        <v>0.64052287581699352</v>
      </c>
      <c r="S4" s="157">
        <f t="shared" si="0"/>
        <v>0.50838088691358019</v>
      </c>
      <c r="T4" s="157">
        <f t="shared" si="1"/>
        <v>0.33333333333333331</v>
      </c>
      <c r="U4" s="157">
        <f t="shared" si="2"/>
        <v>3.8566679055681376E-2</v>
      </c>
      <c r="V4">
        <f t="shared" si="3"/>
        <v>165</v>
      </c>
      <c r="W4">
        <f t="shared" si="4"/>
        <v>1680</v>
      </c>
      <c r="X4" s="1">
        <f t="shared" si="5"/>
        <v>186.66666666666666</v>
      </c>
      <c r="Y4" s="1">
        <f t="shared" ref="Y4:Y26" si="19">SUM(V4:X4)</f>
        <v>2031.6666666666667</v>
      </c>
      <c r="Z4">
        <f t="shared" ref="Z4:Z26" si="20">$D$1*S4*R4*Q4</f>
        <v>0</v>
      </c>
      <c r="AA4">
        <f t="shared" ref="AA4:AA26" si="21">I4+$M$1+Z4*Y4</f>
        <v>1224</v>
      </c>
      <c r="AB4" s="158">
        <f t="shared" si="6"/>
        <v>0</v>
      </c>
      <c r="AC4" s="158">
        <f t="shared" ref="AC4:AC26" si="22">(AA4^2-AB4)</f>
        <v>1498176</v>
      </c>
      <c r="AD4">
        <f t="shared" ref="AD4:AD26" si="23">(AA4-SQRT(AC4))/2/Y4</f>
        <v>0</v>
      </c>
      <c r="AF4">
        <f t="shared" ref="AF4:AF26" si="24">AD4*T4</f>
        <v>0</v>
      </c>
      <c r="AG4" s="159">
        <f t="shared" ref="AG4:AG26" si="25">AD4-AF4-U4</f>
        <v>-3.8566679055681376E-2</v>
      </c>
    </row>
    <row r="5" spans="1:33" x14ac:dyDescent="0.4">
      <c r="A5">
        <v>3</v>
      </c>
      <c r="B5">
        <v>10.3</v>
      </c>
      <c r="C5">
        <v>95</v>
      </c>
      <c r="D5">
        <v>1.9</v>
      </c>
      <c r="E5" s="157">
        <f t="shared" si="7"/>
        <v>6.2637762198090502E-2</v>
      </c>
      <c r="F5">
        <v>0</v>
      </c>
      <c r="G5">
        <v>400</v>
      </c>
      <c r="H5" s="1">
        <f t="shared" si="8"/>
        <v>0</v>
      </c>
      <c r="I5">
        <f t="shared" si="9"/>
        <v>784</v>
      </c>
      <c r="J5" s="1">
        <f t="shared" si="10"/>
        <v>1.2527746239665294</v>
      </c>
      <c r="K5" s="1">
        <f t="shared" si="11"/>
        <v>9.5728139261677221</v>
      </c>
      <c r="L5" s="1">
        <f t="shared" si="12"/>
        <v>9.0941732298593365</v>
      </c>
      <c r="M5">
        <f t="shared" si="13"/>
        <v>1200</v>
      </c>
      <c r="N5">
        <f t="shared" si="14"/>
        <v>100</v>
      </c>
      <c r="O5" s="158">
        <f t="shared" si="15"/>
        <v>133.33333333333334</v>
      </c>
      <c r="P5" s="1">
        <f t="shared" si="16"/>
        <v>0.33393536951747838</v>
      </c>
      <c r="Q5">
        <f t="shared" si="17"/>
        <v>0</v>
      </c>
      <c r="R5" s="157">
        <f t="shared" si="18"/>
        <v>0.64052287581699352</v>
      </c>
      <c r="S5" s="157">
        <f t="shared" si="0"/>
        <v>0.45254799000000001</v>
      </c>
      <c r="T5" s="157">
        <f t="shared" si="1"/>
        <v>0.33333333333333331</v>
      </c>
      <c r="U5" s="157">
        <f t="shared" si="2"/>
        <v>3.5735424399751768E-2</v>
      </c>
      <c r="V5">
        <f t="shared" si="3"/>
        <v>165</v>
      </c>
      <c r="W5">
        <f t="shared" si="4"/>
        <v>1680</v>
      </c>
      <c r="X5" s="1">
        <f t="shared" si="5"/>
        <v>186.66666666666666</v>
      </c>
      <c r="Y5" s="1">
        <f t="shared" si="19"/>
        <v>2031.6666666666667</v>
      </c>
      <c r="Z5">
        <f t="shared" si="20"/>
        <v>0</v>
      </c>
      <c r="AA5">
        <f t="shared" si="21"/>
        <v>1224</v>
      </c>
      <c r="AB5" s="158">
        <f t="shared" si="6"/>
        <v>0</v>
      </c>
      <c r="AC5" s="158">
        <f t="shared" si="22"/>
        <v>1498176</v>
      </c>
      <c r="AD5">
        <f t="shared" si="23"/>
        <v>0</v>
      </c>
      <c r="AF5">
        <f t="shared" si="24"/>
        <v>0</v>
      </c>
      <c r="AG5" s="159">
        <f t="shared" si="25"/>
        <v>-3.5735424399751768E-2</v>
      </c>
    </row>
    <row r="6" spans="1:33" x14ac:dyDescent="0.4">
      <c r="A6">
        <v>4</v>
      </c>
      <c r="B6">
        <v>9.6</v>
      </c>
      <c r="C6">
        <v>96</v>
      </c>
      <c r="D6">
        <v>0.6</v>
      </c>
      <c r="E6" s="157">
        <f t="shared" si="7"/>
        <v>4.7813811627040619E-2</v>
      </c>
      <c r="F6">
        <v>0</v>
      </c>
      <c r="G6">
        <v>400</v>
      </c>
      <c r="H6" s="1">
        <f t="shared" si="8"/>
        <v>0</v>
      </c>
      <c r="I6">
        <f t="shared" si="9"/>
        <v>784</v>
      </c>
      <c r="J6" s="1">
        <f t="shared" si="10"/>
        <v>1.1953478130074493</v>
      </c>
      <c r="K6" s="1">
        <f t="shared" si="11"/>
        <v>9.1566111294883807</v>
      </c>
      <c r="L6" s="1">
        <f t="shared" si="12"/>
        <v>8.7903466843088456</v>
      </c>
      <c r="M6">
        <f t="shared" si="13"/>
        <v>1200</v>
      </c>
      <c r="N6">
        <f t="shared" si="14"/>
        <v>140</v>
      </c>
      <c r="O6" s="158">
        <f t="shared" si="15"/>
        <v>133.33333333333334</v>
      </c>
      <c r="P6" s="1">
        <f t="shared" si="16"/>
        <v>0.24859577727117771</v>
      </c>
      <c r="Q6">
        <f t="shared" si="17"/>
        <v>0</v>
      </c>
      <c r="R6" s="157">
        <f t="shared" si="18"/>
        <v>0.64052287581699352</v>
      </c>
      <c r="S6" s="157">
        <f t="shared" si="0"/>
        <v>0.41759359802469137</v>
      </c>
      <c r="T6" s="157">
        <f t="shared" si="1"/>
        <v>0.33333333333333331</v>
      </c>
      <c r="U6" s="157">
        <f t="shared" si="2"/>
        <v>3.404292315943E-2</v>
      </c>
      <c r="V6">
        <f t="shared" si="3"/>
        <v>231</v>
      </c>
      <c r="W6">
        <f t="shared" si="4"/>
        <v>1680</v>
      </c>
      <c r="X6" s="1">
        <f t="shared" si="5"/>
        <v>186.66666666666666</v>
      </c>
      <c r="Y6" s="1">
        <f t="shared" si="19"/>
        <v>2097.6666666666665</v>
      </c>
      <c r="Z6">
        <f t="shared" si="20"/>
        <v>0</v>
      </c>
      <c r="AA6">
        <f t="shared" si="21"/>
        <v>1224</v>
      </c>
      <c r="AB6" s="158">
        <f t="shared" si="6"/>
        <v>0</v>
      </c>
      <c r="AC6" s="158">
        <f t="shared" si="22"/>
        <v>1498176</v>
      </c>
      <c r="AD6">
        <f t="shared" si="23"/>
        <v>0</v>
      </c>
      <c r="AF6">
        <f t="shared" si="24"/>
        <v>0</v>
      </c>
      <c r="AG6" s="159">
        <f t="shared" si="25"/>
        <v>-3.404292315943E-2</v>
      </c>
    </row>
    <row r="7" spans="1:33" x14ac:dyDescent="0.4">
      <c r="A7">
        <v>5</v>
      </c>
      <c r="B7">
        <v>10.1</v>
      </c>
      <c r="C7">
        <v>97</v>
      </c>
      <c r="D7">
        <v>2.6</v>
      </c>
      <c r="E7" s="157">
        <f t="shared" si="7"/>
        <v>3.7083289546683093E-2</v>
      </c>
      <c r="F7">
        <v>0.01</v>
      </c>
      <c r="G7">
        <v>400</v>
      </c>
      <c r="H7" s="1">
        <f t="shared" si="8"/>
        <v>2.7777777777777777</v>
      </c>
      <c r="I7">
        <f t="shared" si="9"/>
        <v>784</v>
      </c>
      <c r="J7" s="1">
        <f t="shared" ref="J7:J15" si="26">0.61078 * EXP(17.269*B7/(237.3+B7))</f>
        <v>1.236124578570619</v>
      </c>
      <c r="K7" s="1">
        <f t="shared" ref="K7:K15" si="27">2166*J7/(273.16+B7)</f>
        <v>9.4522553031983332</v>
      </c>
      <c r="L7" s="1">
        <f t="shared" ref="L7:L15" si="28">K7*C7/100</f>
        <v>9.1686876441023841</v>
      </c>
      <c r="M7" s="158">
        <f t="shared" ref="M7:M15" si="29">IF(H7&gt;80,200,1200-H7*(1200-200)/80)</f>
        <v>1165.2777777777778</v>
      </c>
      <c r="N7">
        <f t="shared" ref="N7:N15" si="30">IF(D7&gt;=1,100,200-(D7*100))</f>
        <v>100</v>
      </c>
      <c r="O7" s="158">
        <f t="shared" ref="O7:O15" si="31">IF(I7&gt;=2352,400,400*I7/2352)</f>
        <v>133.33333333333334</v>
      </c>
      <c r="P7" s="1">
        <f t="shared" ref="P7:P15" si="32">(K7-L7)/SUM(M7:O7)*1000</f>
        <v>0.20274946827118501</v>
      </c>
      <c r="Q7">
        <f t="shared" si="17"/>
        <v>1.3698630136986301E-2</v>
      </c>
      <c r="R7" s="157">
        <f t="shared" si="18"/>
        <v>0.64052287581699352</v>
      </c>
      <c r="S7" s="157">
        <f t="shared" si="0"/>
        <v>0.4425054813580247</v>
      </c>
      <c r="T7" s="157">
        <f t="shared" si="1"/>
        <v>0.33333333333333331</v>
      </c>
      <c r="U7" s="157">
        <f t="shared" si="2"/>
        <v>3.5243444251985168E-2</v>
      </c>
      <c r="V7">
        <f t="shared" si="3"/>
        <v>165</v>
      </c>
      <c r="W7" s="158">
        <f t="shared" si="4"/>
        <v>1631.3888888888889</v>
      </c>
      <c r="X7" s="1">
        <f t="shared" si="5"/>
        <v>186.66666666666666</v>
      </c>
      <c r="Y7" s="1">
        <f t="shared" si="19"/>
        <v>1983.0555555555557</v>
      </c>
      <c r="Z7">
        <f t="shared" si="20"/>
        <v>1.2126106338522657E-2</v>
      </c>
      <c r="AA7">
        <f t="shared" si="21"/>
        <v>1248.0467425418649</v>
      </c>
      <c r="AB7" s="158">
        <f t="shared" si="6"/>
        <v>75410.584611287995</v>
      </c>
      <c r="AC7" s="158">
        <f t="shared" si="22"/>
        <v>1482210.0869580719</v>
      </c>
      <c r="AD7">
        <f t="shared" si="23"/>
        <v>7.7118956919042993E-3</v>
      </c>
      <c r="AF7">
        <f t="shared" si="24"/>
        <v>2.5706318973014331E-3</v>
      </c>
      <c r="AG7" s="163">
        <f t="shared" si="25"/>
        <v>-3.0102180457382301E-2</v>
      </c>
    </row>
    <row r="8" spans="1:33" x14ac:dyDescent="0.4">
      <c r="A8">
        <v>6</v>
      </c>
      <c r="B8">
        <v>11.2</v>
      </c>
      <c r="C8">
        <v>94</v>
      </c>
      <c r="D8">
        <v>1.2</v>
      </c>
      <c r="E8" s="157">
        <f t="shared" si="7"/>
        <v>7.9807743073610771E-2</v>
      </c>
      <c r="F8">
        <v>0.22</v>
      </c>
      <c r="G8">
        <v>400</v>
      </c>
      <c r="H8" s="1">
        <f t="shared" si="8"/>
        <v>61.111111111111114</v>
      </c>
      <c r="I8">
        <f t="shared" si="9"/>
        <v>784</v>
      </c>
      <c r="J8" s="1">
        <f t="shared" si="26"/>
        <v>1.3301645769480379</v>
      </c>
      <c r="K8" s="1">
        <f t="shared" si="27"/>
        <v>10.132003353739801</v>
      </c>
      <c r="L8" s="1">
        <f t="shared" si="28"/>
        <v>9.5240831525154128</v>
      </c>
      <c r="M8" s="158">
        <f t="shared" si="29"/>
        <v>436.11111111111109</v>
      </c>
      <c r="N8">
        <f t="shared" si="30"/>
        <v>100</v>
      </c>
      <c r="O8" s="158">
        <f t="shared" si="31"/>
        <v>133.33333333333334</v>
      </c>
      <c r="P8" s="1">
        <f t="shared" si="32"/>
        <v>0.90809656614431444</v>
      </c>
      <c r="Q8">
        <f t="shared" si="17"/>
        <v>0.23404255319148937</v>
      </c>
      <c r="R8" s="157">
        <f t="shared" si="18"/>
        <v>0.64052287581699352</v>
      </c>
      <c r="S8" s="157">
        <f t="shared" si="0"/>
        <v>0.49816944000000002</v>
      </c>
      <c r="T8" s="157">
        <f t="shared" si="1"/>
        <v>0.33333333333333331</v>
      </c>
      <c r="U8" s="157">
        <f t="shared" si="2"/>
        <v>3.8035720188412031E-2</v>
      </c>
      <c r="V8">
        <f t="shared" si="3"/>
        <v>165</v>
      </c>
      <c r="W8" s="158">
        <f t="shared" si="4"/>
        <v>610.55555555555543</v>
      </c>
      <c r="X8" s="1">
        <f t="shared" si="5"/>
        <v>186.66666666666666</v>
      </c>
      <c r="Y8" s="1">
        <f t="shared" si="19"/>
        <v>962.22222222222206</v>
      </c>
      <c r="Z8">
        <f t="shared" si="20"/>
        <v>0.23323702188396395</v>
      </c>
      <c r="AA8">
        <f t="shared" si="21"/>
        <v>1448.4258455016809</v>
      </c>
      <c r="AB8" s="158">
        <f t="shared" si="6"/>
        <v>703799.45149327116</v>
      </c>
      <c r="AC8" s="158">
        <f t="shared" si="22"/>
        <v>1394137.978423988</v>
      </c>
      <c r="AD8">
        <f t="shared" si="23"/>
        <v>0.13909969934284486</v>
      </c>
      <c r="AF8">
        <f t="shared" si="24"/>
        <v>4.636656644761495E-2</v>
      </c>
      <c r="AG8" s="163">
        <f t="shared" si="25"/>
        <v>5.4697412706817883E-2</v>
      </c>
    </row>
    <row r="9" spans="1:33" x14ac:dyDescent="0.4">
      <c r="A9">
        <v>7</v>
      </c>
      <c r="B9">
        <v>13.1</v>
      </c>
      <c r="C9">
        <v>83</v>
      </c>
      <c r="D9">
        <v>2.1</v>
      </c>
      <c r="E9" s="157">
        <f t="shared" si="7"/>
        <v>0.25626186081397134</v>
      </c>
      <c r="F9">
        <v>0.66</v>
      </c>
      <c r="G9">
        <v>400</v>
      </c>
      <c r="H9" s="1">
        <f t="shared" si="8"/>
        <v>183.33333333333334</v>
      </c>
      <c r="I9">
        <f t="shared" si="9"/>
        <v>784</v>
      </c>
      <c r="J9" s="1">
        <f t="shared" si="26"/>
        <v>1.5074683128893711</v>
      </c>
      <c r="K9" s="1">
        <f t="shared" si="27"/>
        <v>11.406331187446298</v>
      </c>
      <c r="L9" s="1">
        <f t="shared" si="28"/>
        <v>9.4672548855804273</v>
      </c>
      <c r="M9">
        <f t="shared" si="29"/>
        <v>200</v>
      </c>
      <c r="N9">
        <f t="shared" si="30"/>
        <v>100</v>
      </c>
      <c r="O9" s="158">
        <f t="shared" si="31"/>
        <v>133.33333333333334</v>
      </c>
      <c r="P9" s="1">
        <f t="shared" si="32"/>
        <v>4.4747914658443175</v>
      </c>
      <c r="Q9">
        <f t="shared" si="17"/>
        <v>0.47826086956521741</v>
      </c>
      <c r="R9" s="157">
        <f t="shared" si="18"/>
        <v>0.64052287581699352</v>
      </c>
      <c r="S9" s="157">
        <f t="shared" si="0"/>
        <v>0.59551813320987668</v>
      </c>
      <c r="T9" s="157">
        <f t="shared" si="1"/>
        <v>0.33333333333333331</v>
      </c>
      <c r="U9" s="157">
        <f t="shared" si="2"/>
        <v>4.3389769497864529E-2</v>
      </c>
      <c r="V9">
        <f t="shared" si="3"/>
        <v>165</v>
      </c>
      <c r="W9">
        <f t="shared" si="4"/>
        <v>280</v>
      </c>
      <c r="X9" s="1">
        <f t="shared" si="5"/>
        <v>186.66666666666666</v>
      </c>
      <c r="Y9" s="1">
        <f t="shared" si="19"/>
        <v>631.66666666666663</v>
      </c>
      <c r="Z9">
        <f t="shared" si="20"/>
        <v>0.56975142099941978</v>
      </c>
      <c r="AA9">
        <f t="shared" si="21"/>
        <v>1583.8929809313001</v>
      </c>
      <c r="AB9" s="158">
        <f t="shared" si="6"/>
        <v>1128624.3882005573</v>
      </c>
      <c r="AC9" s="158">
        <f t="shared" si="22"/>
        <v>1380092.5868428824</v>
      </c>
      <c r="AD9">
        <f t="shared" si="23"/>
        <v>0.32384134161043882</v>
      </c>
      <c r="AF9">
        <f t="shared" si="24"/>
        <v>0.10794711387014627</v>
      </c>
      <c r="AG9" s="163">
        <f t="shared" si="25"/>
        <v>0.17250445824242802</v>
      </c>
    </row>
    <row r="10" spans="1:33" s="170" customFormat="1" x14ac:dyDescent="0.4">
      <c r="A10" s="165">
        <v>8</v>
      </c>
      <c r="B10" s="165">
        <v>15.9</v>
      </c>
      <c r="C10" s="165">
        <v>68</v>
      </c>
      <c r="D10" s="165">
        <v>2.2000000000000002</v>
      </c>
      <c r="E10" s="157">
        <f t="shared" si="7"/>
        <v>0.57809491786661782</v>
      </c>
      <c r="F10" s="165">
        <v>1.66</v>
      </c>
      <c r="G10" s="165">
        <v>400</v>
      </c>
      <c r="H10" s="166">
        <f t="shared" si="8"/>
        <v>461.11111111111109</v>
      </c>
      <c r="I10" s="165">
        <f t="shared" si="9"/>
        <v>784</v>
      </c>
      <c r="J10" s="166">
        <f t="shared" si="26"/>
        <v>1.8065325234290854</v>
      </c>
      <c r="K10" s="166">
        <f t="shared" si="27"/>
        <v>13.536807049565484</v>
      </c>
      <c r="L10" s="166">
        <f t="shared" si="28"/>
        <v>9.2050287937045283</v>
      </c>
      <c r="M10" s="165">
        <f t="shared" si="29"/>
        <v>200</v>
      </c>
      <c r="N10" s="165">
        <f t="shared" si="30"/>
        <v>100</v>
      </c>
      <c r="O10" s="167">
        <f t="shared" si="31"/>
        <v>133.33333333333334</v>
      </c>
      <c r="P10" s="166">
        <f t="shared" si="32"/>
        <v>9.9964113596791275</v>
      </c>
      <c r="Q10" s="165">
        <f t="shared" si="17"/>
        <v>0.69747899159663862</v>
      </c>
      <c r="R10" s="168">
        <f t="shared" si="18"/>
        <v>0.64052287581699352</v>
      </c>
      <c r="S10" s="168">
        <f t="shared" si="0"/>
        <v>0.73512965913580242</v>
      </c>
      <c r="T10" s="168">
        <f t="shared" si="1"/>
        <v>0.33333333333333331</v>
      </c>
      <c r="U10" s="168">
        <f t="shared" si="2"/>
        <v>5.2683636159387363E-2</v>
      </c>
      <c r="V10" s="165">
        <f t="shared" si="3"/>
        <v>165</v>
      </c>
      <c r="W10" s="165">
        <f t="shared" si="4"/>
        <v>280</v>
      </c>
      <c r="X10" s="166">
        <f t="shared" si="5"/>
        <v>186.66666666666666</v>
      </c>
      <c r="Y10" s="166">
        <f t="shared" si="19"/>
        <v>631.66666666666663</v>
      </c>
      <c r="Z10" s="165">
        <f t="shared" si="20"/>
        <v>1.025700704263059</v>
      </c>
      <c r="AA10" s="165">
        <f t="shared" si="21"/>
        <v>1871.9009448594988</v>
      </c>
      <c r="AB10" s="167">
        <f t="shared" si="6"/>
        <v>2031817.3630793886</v>
      </c>
      <c r="AC10" s="167">
        <f t="shared" si="22"/>
        <v>1472195.7842864958</v>
      </c>
      <c r="AD10" s="165">
        <f t="shared" si="23"/>
        <v>0.52128775035694475</v>
      </c>
      <c r="AE10" s="165"/>
      <c r="AF10" s="165">
        <f t="shared" si="24"/>
        <v>0.17376258345231491</v>
      </c>
      <c r="AG10" s="169">
        <f t="shared" si="25"/>
        <v>0.2948415307452425</v>
      </c>
    </row>
    <row r="11" spans="1:33" x14ac:dyDescent="0.4">
      <c r="A11">
        <v>9</v>
      </c>
      <c r="B11">
        <v>18.3</v>
      </c>
      <c r="C11">
        <v>63</v>
      </c>
      <c r="D11">
        <v>1.4</v>
      </c>
      <c r="E11" s="157">
        <f t="shared" si="7"/>
        <v>0.77817699718536071</v>
      </c>
      <c r="F11">
        <v>2.37</v>
      </c>
      <c r="G11">
        <v>400</v>
      </c>
      <c r="H11" s="1">
        <f t="shared" si="8"/>
        <v>658.33333333333337</v>
      </c>
      <c r="I11">
        <f t="shared" si="9"/>
        <v>784</v>
      </c>
      <c r="J11" s="1">
        <f t="shared" si="26"/>
        <v>2.1030256421813087</v>
      </c>
      <c r="K11" s="1">
        <f t="shared" si="27"/>
        <v>15.628743364320025</v>
      </c>
      <c r="L11" s="1">
        <f t="shared" si="28"/>
        <v>9.8461083195216155</v>
      </c>
      <c r="M11">
        <f t="shared" si="29"/>
        <v>200</v>
      </c>
      <c r="N11">
        <f t="shared" si="30"/>
        <v>100</v>
      </c>
      <c r="O11" s="158">
        <f t="shared" si="31"/>
        <v>133.33333333333334</v>
      </c>
      <c r="P11" s="1">
        <f t="shared" si="32"/>
        <v>13.344542411073251</v>
      </c>
      <c r="Q11">
        <f t="shared" si="17"/>
        <v>0.76699029126213591</v>
      </c>
      <c r="R11" s="157">
        <f t="shared" si="18"/>
        <v>0.64052287581699352</v>
      </c>
      <c r="S11" s="157">
        <f t="shared" si="0"/>
        <v>0.84255857765432107</v>
      </c>
      <c r="T11" s="157">
        <f t="shared" si="1"/>
        <v>0.33333333333333331</v>
      </c>
      <c r="U11" s="157">
        <f t="shared" si="2"/>
        <v>6.2218987681659919E-2</v>
      </c>
      <c r="V11">
        <f t="shared" si="3"/>
        <v>165</v>
      </c>
      <c r="W11">
        <f t="shared" si="4"/>
        <v>280</v>
      </c>
      <c r="X11" s="1">
        <f t="shared" si="5"/>
        <v>186.66666666666666</v>
      </c>
      <c r="Y11" s="1">
        <f t="shared" si="19"/>
        <v>631.66666666666663</v>
      </c>
      <c r="Z11">
        <f t="shared" si="20"/>
        <v>1.2927529833424602</v>
      </c>
      <c r="AA11">
        <f t="shared" si="21"/>
        <v>2040.5889678113208</v>
      </c>
      <c r="AB11" s="158">
        <f t="shared" si="6"/>
        <v>2560823.0030563017</v>
      </c>
      <c r="AC11" s="158">
        <f t="shared" si="22"/>
        <v>1603180.33249697</v>
      </c>
      <c r="AD11">
        <f t="shared" si="23"/>
        <v>0.61299846255526291</v>
      </c>
      <c r="AF11">
        <f t="shared" si="24"/>
        <v>0.2043328208517543</v>
      </c>
      <c r="AG11" s="163">
        <f t="shared" si="25"/>
        <v>0.34644665402184871</v>
      </c>
    </row>
    <row r="12" spans="1:33" x14ac:dyDescent="0.4">
      <c r="A12">
        <v>10</v>
      </c>
      <c r="B12">
        <v>19.3</v>
      </c>
      <c r="C12">
        <v>58</v>
      </c>
      <c r="D12">
        <v>1.2</v>
      </c>
      <c r="E12" s="157">
        <f t="shared" si="7"/>
        <v>0.94032127493021445</v>
      </c>
      <c r="F12">
        <v>2.93</v>
      </c>
      <c r="G12">
        <v>400</v>
      </c>
      <c r="H12" s="1">
        <f t="shared" si="8"/>
        <v>813.88888888888891</v>
      </c>
      <c r="I12">
        <f t="shared" si="9"/>
        <v>784</v>
      </c>
      <c r="J12" s="1">
        <f t="shared" si="26"/>
        <v>2.2386164332410003</v>
      </c>
      <c r="K12" s="1">
        <f t="shared" si="27"/>
        <v>16.579508973534864</v>
      </c>
      <c r="L12" s="1">
        <f t="shared" si="28"/>
        <v>9.616115204650221</v>
      </c>
      <c r="M12">
        <f t="shared" si="29"/>
        <v>200</v>
      </c>
      <c r="N12">
        <f t="shared" si="30"/>
        <v>100</v>
      </c>
      <c r="O12" s="158">
        <f t="shared" si="31"/>
        <v>133.33333333333334</v>
      </c>
      <c r="P12" s="1">
        <f t="shared" si="32"/>
        <v>16.069370235887636</v>
      </c>
      <c r="Q12">
        <f t="shared" si="17"/>
        <v>0.80273972602739718</v>
      </c>
      <c r="R12" s="157">
        <f t="shared" si="18"/>
        <v>0.64052287581699352</v>
      </c>
      <c r="S12" s="157">
        <f t="shared" si="0"/>
        <v>0.88173279000000004</v>
      </c>
      <c r="T12" s="157">
        <f t="shared" si="1"/>
        <v>0.33333333333333331</v>
      </c>
      <c r="U12" s="157">
        <f t="shared" si="2"/>
        <v>6.6684659863075632E-2</v>
      </c>
      <c r="V12">
        <f t="shared" si="3"/>
        <v>165</v>
      </c>
      <c r="W12">
        <f t="shared" si="4"/>
        <v>280</v>
      </c>
      <c r="X12" s="1">
        <f t="shared" si="5"/>
        <v>186.66666666666666</v>
      </c>
      <c r="Y12" s="1">
        <f t="shared" si="19"/>
        <v>631.66666666666663</v>
      </c>
      <c r="Z12">
        <f t="shared" si="20"/>
        <v>1.415915465490065</v>
      </c>
      <c r="AA12">
        <f t="shared" si="21"/>
        <v>2118.3866023678911</v>
      </c>
      <c r="AB12" s="158">
        <f t="shared" si="6"/>
        <v>2804796.3850257061</v>
      </c>
      <c r="AC12" s="158">
        <f t="shared" si="22"/>
        <v>1682765.4120660713</v>
      </c>
      <c r="AD12">
        <f t="shared" si="23"/>
        <v>0.65000431698848149</v>
      </c>
      <c r="AF12">
        <f t="shared" si="24"/>
        <v>0.21666810566282715</v>
      </c>
      <c r="AG12" s="163">
        <f t="shared" si="25"/>
        <v>0.36665155146257872</v>
      </c>
    </row>
    <row r="13" spans="1:33" x14ac:dyDescent="0.4">
      <c r="A13">
        <v>11</v>
      </c>
      <c r="B13">
        <v>20.3</v>
      </c>
      <c r="C13">
        <v>48</v>
      </c>
      <c r="D13">
        <v>2.2999999999999998</v>
      </c>
      <c r="E13" s="157">
        <f t="shared" si="7"/>
        <v>1.2387154416982895</v>
      </c>
      <c r="F13">
        <v>3.09</v>
      </c>
      <c r="G13">
        <v>400</v>
      </c>
      <c r="H13" s="1">
        <f t="shared" si="8"/>
        <v>858.33333333333337</v>
      </c>
      <c r="I13">
        <f t="shared" si="9"/>
        <v>784</v>
      </c>
      <c r="J13" s="1">
        <f t="shared" si="26"/>
        <v>2.381793636174288</v>
      </c>
      <c r="K13" s="1">
        <f t="shared" si="27"/>
        <v>17.579789463482271</v>
      </c>
      <c r="L13" s="1">
        <f t="shared" si="28"/>
        <v>8.4382989424714907</v>
      </c>
      <c r="M13">
        <f t="shared" si="29"/>
        <v>200</v>
      </c>
      <c r="N13">
        <f t="shared" si="30"/>
        <v>100</v>
      </c>
      <c r="O13" s="158">
        <f t="shared" si="31"/>
        <v>133.33333333333334</v>
      </c>
      <c r="P13" s="1">
        <f t="shared" si="32"/>
        <v>21.095747356178723</v>
      </c>
      <c r="Q13">
        <f t="shared" si="17"/>
        <v>0.81102362204724421</v>
      </c>
      <c r="R13" s="157">
        <f t="shared" si="18"/>
        <v>0.64052287581699352</v>
      </c>
      <c r="S13" s="157">
        <f t="shared" si="0"/>
        <v>0.91660097765432091</v>
      </c>
      <c r="T13" s="157">
        <f t="shared" si="1"/>
        <v>0.33333333333333331</v>
      </c>
      <c r="U13" s="157">
        <f t="shared" si="2"/>
        <v>7.1470848799503536E-2</v>
      </c>
      <c r="V13">
        <f t="shared" si="3"/>
        <v>165</v>
      </c>
      <c r="W13">
        <f t="shared" si="4"/>
        <v>280</v>
      </c>
      <c r="X13" s="1">
        <f t="shared" si="5"/>
        <v>186.66666666666666</v>
      </c>
      <c r="Y13" s="1">
        <f t="shared" si="19"/>
        <v>631.66666666666663</v>
      </c>
      <c r="Z13">
        <f t="shared" si="20"/>
        <v>1.4870973430945544</v>
      </c>
      <c r="AA13">
        <f t="shared" si="21"/>
        <v>2163.3498217213937</v>
      </c>
      <c r="AB13" s="158">
        <f t="shared" si="6"/>
        <v>2945801.0409182901</v>
      </c>
      <c r="AC13" s="158">
        <f t="shared" si="22"/>
        <v>1734281.4102236959</v>
      </c>
      <c r="AD13">
        <f t="shared" si="23"/>
        <v>0.66999628154720092</v>
      </c>
      <c r="AF13">
        <f t="shared" si="24"/>
        <v>0.22333209384906696</v>
      </c>
      <c r="AG13" s="163">
        <f t="shared" si="25"/>
        <v>0.37519333889863044</v>
      </c>
    </row>
    <row r="14" spans="1:33" x14ac:dyDescent="0.4">
      <c r="A14">
        <v>12</v>
      </c>
      <c r="B14">
        <v>21.4</v>
      </c>
      <c r="C14">
        <v>43</v>
      </c>
      <c r="D14">
        <v>2.7</v>
      </c>
      <c r="E14" s="157">
        <f t="shared" si="7"/>
        <v>1.4529130810058217</v>
      </c>
      <c r="F14">
        <v>3.27</v>
      </c>
      <c r="G14">
        <v>400</v>
      </c>
      <c r="H14" s="1">
        <f t="shared" si="8"/>
        <v>908.33333333333337</v>
      </c>
      <c r="I14">
        <f t="shared" si="9"/>
        <v>784</v>
      </c>
      <c r="J14" s="1">
        <f t="shared" si="26"/>
        <v>2.5484763196837203</v>
      </c>
      <c r="K14" s="1">
        <f t="shared" si="27"/>
        <v>18.739814327929583</v>
      </c>
      <c r="L14" s="1">
        <f t="shared" si="28"/>
        <v>8.05812016100972</v>
      </c>
      <c r="M14">
        <f t="shared" si="29"/>
        <v>200</v>
      </c>
      <c r="N14">
        <f t="shared" si="30"/>
        <v>100</v>
      </c>
      <c r="O14" s="158">
        <f t="shared" si="31"/>
        <v>133.33333333333334</v>
      </c>
      <c r="P14" s="1">
        <f t="shared" si="32"/>
        <v>24.650063462122759</v>
      </c>
      <c r="Q14">
        <f t="shared" si="17"/>
        <v>0.81954887218045114</v>
      </c>
      <c r="R14" s="157">
        <f t="shared" si="18"/>
        <v>0.64052287581699352</v>
      </c>
      <c r="S14" s="157">
        <f t="shared" si="0"/>
        <v>0.94910463999999994</v>
      </c>
      <c r="T14" s="157">
        <f t="shared" si="1"/>
        <v>0.33333333333333331</v>
      </c>
      <c r="U14" s="157">
        <f t="shared" si="2"/>
        <v>7.7133358111362751E-2</v>
      </c>
      <c r="V14">
        <f t="shared" si="3"/>
        <v>165</v>
      </c>
      <c r="W14">
        <f t="shared" si="4"/>
        <v>280</v>
      </c>
      <c r="X14" s="1">
        <f t="shared" si="5"/>
        <v>186.66666666666666</v>
      </c>
      <c r="Y14" s="1">
        <f t="shared" si="19"/>
        <v>631.66666666666663</v>
      </c>
      <c r="Z14">
        <f t="shared" si="20"/>
        <v>1.5560176946809015</v>
      </c>
      <c r="AA14">
        <f t="shared" si="21"/>
        <v>2206.884510473436</v>
      </c>
      <c r="AB14" s="158">
        <f t="shared" si="6"/>
        <v>3082325.8248446952</v>
      </c>
      <c r="AC14" s="158">
        <f t="shared" si="22"/>
        <v>1788013.4177228822</v>
      </c>
      <c r="AD14">
        <f t="shared" si="23"/>
        <v>0.68843138881656007</v>
      </c>
      <c r="AF14">
        <f t="shared" si="24"/>
        <v>0.22947712960552002</v>
      </c>
      <c r="AG14" s="163">
        <f t="shared" si="25"/>
        <v>0.38182090109967731</v>
      </c>
    </row>
    <row r="15" spans="1:33" x14ac:dyDescent="0.4">
      <c r="A15">
        <v>13</v>
      </c>
      <c r="B15">
        <v>21.6</v>
      </c>
      <c r="C15">
        <v>41</v>
      </c>
      <c r="D15">
        <v>3.3</v>
      </c>
      <c r="E15" s="157">
        <f t="shared" si="7"/>
        <v>1.5224217009399676</v>
      </c>
      <c r="F15">
        <v>3.08</v>
      </c>
      <c r="G15">
        <v>400</v>
      </c>
      <c r="H15" s="1">
        <f t="shared" si="8"/>
        <v>855.55555555555554</v>
      </c>
      <c r="I15">
        <f t="shared" si="9"/>
        <v>784</v>
      </c>
      <c r="J15" s="1">
        <f t="shared" si="26"/>
        <v>2.579852995818535</v>
      </c>
      <c r="K15" s="1">
        <f t="shared" si="27"/>
        <v>18.95766586016741</v>
      </c>
      <c r="L15" s="1">
        <f t="shared" si="28"/>
        <v>7.7726430026686373</v>
      </c>
      <c r="M15">
        <f t="shared" si="29"/>
        <v>200</v>
      </c>
      <c r="N15">
        <f t="shared" si="30"/>
        <v>100</v>
      </c>
      <c r="O15" s="158">
        <f t="shared" si="31"/>
        <v>133.33333333333334</v>
      </c>
      <c r="P15" s="1">
        <f t="shared" si="32"/>
        <v>25.811591209612548</v>
      </c>
      <c r="Q15">
        <f t="shared" si="17"/>
        <v>0.81052631578947365</v>
      </c>
      <c r="R15" s="157">
        <f t="shared" si="18"/>
        <v>0.64052287581699352</v>
      </c>
      <c r="S15" s="157">
        <f t="shared" si="0"/>
        <v>0.95428005728395049</v>
      </c>
      <c r="T15" s="157">
        <f t="shared" si="1"/>
        <v>0.33333333333333331</v>
      </c>
      <c r="U15" s="157">
        <f t="shared" si="2"/>
        <v>7.8210099665055405E-2</v>
      </c>
      <c r="V15">
        <f t="shared" si="3"/>
        <v>165</v>
      </c>
      <c r="W15">
        <f t="shared" si="4"/>
        <v>280</v>
      </c>
      <c r="X15" s="1">
        <f t="shared" si="5"/>
        <v>186.66666666666666</v>
      </c>
      <c r="Y15" s="1">
        <f t="shared" si="19"/>
        <v>631.66666666666663</v>
      </c>
      <c r="Z15">
        <f t="shared" si="20"/>
        <v>1.5472786950976902</v>
      </c>
      <c r="AA15">
        <f t="shared" si="21"/>
        <v>2201.3643757367076</v>
      </c>
      <c r="AB15" s="158">
        <f t="shared" si="6"/>
        <v>3065014.6823103148</v>
      </c>
      <c r="AC15" s="158">
        <f t="shared" si="22"/>
        <v>1780990.4324523499</v>
      </c>
      <c r="AD15">
        <f t="shared" si="23"/>
        <v>0.68614261795929299</v>
      </c>
      <c r="AF15">
        <f t="shared" si="24"/>
        <v>0.228714205986431</v>
      </c>
      <c r="AG15" s="163">
        <f t="shared" si="25"/>
        <v>0.37921831230780656</v>
      </c>
    </row>
    <row r="16" spans="1:33" x14ac:dyDescent="0.4">
      <c r="A16">
        <v>14</v>
      </c>
      <c r="B16">
        <v>21.4</v>
      </c>
      <c r="C16">
        <v>38</v>
      </c>
      <c r="D16">
        <v>4</v>
      </c>
      <c r="E16" s="157">
        <f t="shared" si="7"/>
        <v>1.5803615968835252</v>
      </c>
      <c r="F16">
        <v>2.78</v>
      </c>
      <c r="G16">
        <v>400</v>
      </c>
      <c r="H16" s="1">
        <f t="shared" si="8"/>
        <v>772.22222222222217</v>
      </c>
      <c r="I16">
        <f t="shared" si="9"/>
        <v>784</v>
      </c>
      <c r="J16" s="1">
        <f t="shared" ref="J16:J26" si="33">0.61078 * EXP(17.269*B16/(237.3+B16))</f>
        <v>2.5484763196837203</v>
      </c>
      <c r="K16" s="1">
        <f t="shared" ref="K16:K26" si="34">2166*J16/(273.16+B16)</f>
        <v>18.739814327929583</v>
      </c>
      <c r="L16" s="1">
        <f t="shared" ref="L16:L26" si="35">K16*C16/100</f>
        <v>7.1211294446132412</v>
      </c>
      <c r="M16">
        <f t="shared" ref="M16:M26" si="36">IF(H16&gt;80,200,1200-H16*(1200-200)/80)</f>
        <v>200</v>
      </c>
      <c r="N16">
        <f t="shared" ref="N16:N26" si="37">IF(D16&gt;=1,100,200-(D16*100))</f>
        <v>100</v>
      </c>
      <c r="O16" s="158">
        <f t="shared" ref="O16:O26" si="38">IF(I16&gt;=2352,400,400*I16/2352)</f>
        <v>133.33333333333334</v>
      </c>
      <c r="P16" s="1">
        <f t="shared" ref="P16:P26" si="39">(K16-L16)/SUM(M16:O16)*1000</f>
        <v>26.812349730730013</v>
      </c>
      <c r="Q16">
        <f t="shared" si="17"/>
        <v>0.79428571428571437</v>
      </c>
      <c r="R16" s="157">
        <f t="shared" si="18"/>
        <v>0.64052287581699352</v>
      </c>
      <c r="S16" s="157">
        <f t="shared" si="0"/>
        <v>0.94910463999999994</v>
      </c>
      <c r="T16" s="157">
        <f t="shared" si="1"/>
        <v>0.33333333333333331</v>
      </c>
      <c r="U16" s="157">
        <f t="shared" si="2"/>
        <v>7.7133358111362751E-2</v>
      </c>
      <c r="V16">
        <f t="shared" si="3"/>
        <v>165</v>
      </c>
      <c r="W16">
        <f t="shared" si="4"/>
        <v>280</v>
      </c>
      <c r="X16" s="1">
        <f t="shared" si="5"/>
        <v>186.66666666666666</v>
      </c>
      <c r="Y16" s="1">
        <f t="shared" si="19"/>
        <v>631.66666666666663</v>
      </c>
      <c r="Z16">
        <f t="shared" si="20"/>
        <v>1.5080523785879856</v>
      </c>
      <c r="AA16">
        <f t="shared" si="21"/>
        <v>2176.5864191414107</v>
      </c>
      <c r="AB16" s="158">
        <f t="shared" si="6"/>
        <v>2987311.0104274643</v>
      </c>
      <c r="AC16" s="158">
        <f t="shared" si="22"/>
        <v>1750217.4295633645</v>
      </c>
      <c r="AD16">
        <f t="shared" si="23"/>
        <v>0.67569545027277034</v>
      </c>
      <c r="AF16">
        <f t="shared" si="24"/>
        <v>0.2252318167575901</v>
      </c>
      <c r="AG16" s="163">
        <f t="shared" si="25"/>
        <v>0.37333027540381752</v>
      </c>
    </row>
    <row r="17" spans="1:54" x14ac:dyDescent="0.4">
      <c r="A17">
        <v>15</v>
      </c>
      <c r="B17">
        <v>21</v>
      </c>
      <c r="C17">
        <v>45</v>
      </c>
      <c r="D17">
        <v>4.4000000000000004</v>
      </c>
      <c r="E17" s="157">
        <f t="shared" si="7"/>
        <v>1.3679385008227616</v>
      </c>
      <c r="F17">
        <v>2.0499999999999998</v>
      </c>
      <c r="G17">
        <v>400</v>
      </c>
      <c r="H17" s="1">
        <f t="shared" si="8"/>
        <v>569.44444444444434</v>
      </c>
      <c r="I17">
        <f t="shared" si="9"/>
        <v>784</v>
      </c>
      <c r="J17" s="1">
        <f t="shared" si="33"/>
        <v>2.4867217821894263</v>
      </c>
      <c r="K17" s="1">
        <f t="shared" si="34"/>
        <v>18.310577169643381</v>
      </c>
      <c r="L17" s="1">
        <f t="shared" si="35"/>
        <v>8.2397597263395213</v>
      </c>
      <c r="M17">
        <f t="shared" si="36"/>
        <v>200</v>
      </c>
      <c r="N17">
        <f t="shared" si="37"/>
        <v>100</v>
      </c>
      <c r="O17" s="158">
        <f t="shared" si="38"/>
        <v>133.33333333333334</v>
      </c>
      <c r="P17" s="1">
        <f t="shared" si="39"/>
        <v>23.240347946085826</v>
      </c>
      <c r="Q17">
        <f t="shared" si="17"/>
        <v>0.74007220216606495</v>
      </c>
      <c r="R17" s="157">
        <f t="shared" si="18"/>
        <v>0.64052287581699352</v>
      </c>
      <c r="S17" s="157">
        <f t="shared" si="0"/>
        <v>0.93805432098765429</v>
      </c>
      <c r="T17" s="157">
        <f t="shared" si="1"/>
        <v>0.33333333333333331</v>
      </c>
      <c r="U17" s="157">
        <f t="shared" si="2"/>
        <v>7.5024142377540529E-2</v>
      </c>
      <c r="V17">
        <f t="shared" si="3"/>
        <v>165</v>
      </c>
      <c r="W17">
        <f t="shared" si="4"/>
        <v>280</v>
      </c>
      <c r="X17" s="1">
        <f t="shared" si="5"/>
        <v>186.66666666666666</v>
      </c>
      <c r="Y17" s="1">
        <f t="shared" si="19"/>
        <v>631.66666666666663</v>
      </c>
      <c r="Z17">
        <f t="shared" si="20"/>
        <v>1.3887614675532158</v>
      </c>
      <c r="AA17">
        <f t="shared" si="21"/>
        <v>2101.234327004448</v>
      </c>
      <c r="AB17" s="158">
        <f t="shared" si="6"/>
        <v>2751006.8494859487</v>
      </c>
      <c r="AC17" s="158">
        <f t="shared" si="22"/>
        <v>1664178.8474958865</v>
      </c>
      <c r="AD17">
        <f t="shared" si="23"/>
        <v>0.6421137991990995</v>
      </c>
      <c r="AF17">
        <f t="shared" si="24"/>
        <v>0.21403793306636648</v>
      </c>
      <c r="AG17" s="163">
        <f t="shared" si="25"/>
        <v>0.3530517237551925</v>
      </c>
    </row>
    <row r="18" spans="1:54" x14ac:dyDescent="0.4">
      <c r="A18">
        <v>16</v>
      </c>
      <c r="B18">
        <v>21.7</v>
      </c>
      <c r="C18">
        <v>48</v>
      </c>
      <c r="D18">
        <v>3.7</v>
      </c>
      <c r="E18" s="157">
        <f t="shared" si="7"/>
        <v>1.3500266003301014</v>
      </c>
      <c r="F18">
        <v>1.6</v>
      </c>
      <c r="G18">
        <v>400</v>
      </c>
      <c r="H18" s="1">
        <f t="shared" si="8"/>
        <v>444.44444444444446</v>
      </c>
      <c r="I18">
        <f t="shared" si="9"/>
        <v>784</v>
      </c>
      <c r="J18" s="1">
        <f t="shared" si="33"/>
        <v>2.5956675079724603</v>
      </c>
      <c r="K18" s="1">
        <f t="shared" si="34"/>
        <v>19.067407658781622</v>
      </c>
      <c r="L18" s="1">
        <f t="shared" si="35"/>
        <v>9.1523556762151799</v>
      </c>
      <c r="M18">
        <f t="shared" si="36"/>
        <v>200</v>
      </c>
      <c r="N18">
        <f t="shared" si="37"/>
        <v>100</v>
      </c>
      <c r="O18" s="158">
        <f t="shared" si="38"/>
        <v>133.33333333333334</v>
      </c>
      <c r="P18" s="1">
        <f t="shared" si="39"/>
        <v>22.880889190537943</v>
      </c>
      <c r="Q18">
        <f t="shared" si="17"/>
        <v>0.68965517241379315</v>
      </c>
      <c r="R18" s="157">
        <f t="shared" si="18"/>
        <v>0.64052287581699352</v>
      </c>
      <c r="S18" s="157">
        <f t="shared" si="0"/>
        <v>0.95677758999999996</v>
      </c>
      <c r="T18" s="157">
        <f t="shared" si="1"/>
        <v>0.33333333333333331</v>
      </c>
      <c r="U18" s="157">
        <f t="shared" si="2"/>
        <v>7.8754093928216667E-2</v>
      </c>
      <c r="V18">
        <f t="shared" si="3"/>
        <v>165</v>
      </c>
      <c r="W18">
        <f t="shared" si="4"/>
        <v>280</v>
      </c>
      <c r="X18" s="1">
        <f t="shared" si="5"/>
        <v>186.66666666666666</v>
      </c>
      <c r="Y18" s="1">
        <f t="shared" si="19"/>
        <v>631.66666666666663</v>
      </c>
      <c r="Z18">
        <f t="shared" si="20"/>
        <v>1.319983705610122</v>
      </c>
      <c r="AA18">
        <f t="shared" si="21"/>
        <v>2057.7897073770605</v>
      </c>
      <c r="AB18" s="158">
        <f t="shared" si="6"/>
        <v>2614764.5223344611</v>
      </c>
      <c r="AC18" s="158">
        <f t="shared" si="22"/>
        <v>1619733.9574525068</v>
      </c>
      <c r="AD18">
        <f t="shared" si="23"/>
        <v>0.62145278383808755</v>
      </c>
      <c r="AF18">
        <f t="shared" si="24"/>
        <v>0.20715092794602918</v>
      </c>
      <c r="AG18" s="163">
        <f t="shared" si="25"/>
        <v>0.33554776196384173</v>
      </c>
    </row>
    <row r="19" spans="1:54" x14ac:dyDescent="0.4">
      <c r="A19">
        <v>17</v>
      </c>
      <c r="B19">
        <v>19.600000000000001</v>
      </c>
      <c r="C19">
        <v>60</v>
      </c>
      <c r="D19">
        <v>4</v>
      </c>
      <c r="E19" s="157">
        <f t="shared" si="7"/>
        <v>0.91241240927214062</v>
      </c>
      <c r="F19">
        <v>1.03</v>
      </c>
      <c r="G19">
        <v>400</v>
      </c>
      <c r="H19" s="1">
        <f t="shared" si="8"/>
        <v>286.11111111111109</v>
      </c>
      <c r="I19">
        <f t="shared" si="9"/>
        <v>784</v>
      </c>
      <c r="J19" s="1">
        <f t="shared" si="33"/>
        <v>2.2807570685090988</v>
      </c>
      <c r="K19" s="1">
        <f t="shared" si="34"/>
        <v>16.874299120066631</v>
      </c>
      <c r="L19" s="1">
        <f t="shared" si="35"/>
        <v>10.124579472039978</v>
      </c>
      <c r="M19">
        <f t="shared" si="36"/>
        <v>200</v>
      </c>
      <c r="N19">
        <f t="shared" si="37"/>
        <v>100</v>
      </c>
      <c r="O19" s="158">
        <f t="shared" si="38"/>
        <v>133.33333333333334</v>
      </c>
      <c r="P19" s="1">
        <f t="shared" si="39"/>
        <v>15.576276110830737</v>
      </c>
      <c r="Q19">
        <f t="shared" si="17"/>
        <v>0.58857142857142852</v>
      </c>
      <c r="R19" s="157">
        <f t="shared" si="18"/>
        <v>0.64052287581699352</v>
      </c>
      <c r="S19" s="157">
        <f t="shared" si="0"/>
        <v>0.89267824000000007</v>
      </c>
      <c r="T19" s="157">
        <f t="shared" si="1"/>
        <v>0.33333333333333331</v>
      </c>
      <c r="U19" s="157">
        <f t="shared" si="2"/>
        <v>6.8085846318859999E-2</v>
      </c>
      <c r="V19">
        <f t="shared" si="3"/>
        <v>165</v>
      </c>
      <c r="W19">
        <f t="shared" si="4"/>
        <v>280</v>
      </c>
      <c r="X19" s="1">
        <f t="shared" si="5"/>
        <v>186.66666666666666</v>
      </c>
      <c r="Y19" s="1">
        <f t="shared" si="19"/>
        <v>631.66666666666663</v>
      </c>
      <c r="Z19">
        <f t="shared" si="20"/>
        <v>1.0510411079677746</v>
      </c>
      <c r="AA19">
        <f t="shared" si="21"/>
        <v>1887.9076331996444</v>
      </c>
      <c r="AB19" s="158">
        <f t="shared" si="6"/>
        <v>2082014.3377140844</v>
      </c>
      <c r="AC19" s="158">
        <f t="shared" si="22"/>
        <v>1482180.8937793984</v>
      </c>
      <c r="AD19">
        <f t="shared" si="23"/>
        <v>0.53070642370622145</v>
      </c>
      <c r="AF19">
        <f t="shared" si="24"/>
        <v>0.17690214123540715</v>
      </c>
      <c r="AG19" s="163">
        <f t="shared" si="25"/>
        <v>0.2857184361519543</v>
      </c>
    </row>
    <row r="20" spans="1:54" x14ac:dyDescent="0.4">
      <c r="A20">
        <v>18</v>
      </c>
      <c r="B20">
        <v>18.3</v>
      </c>
      <c r="C20">
        <v>68</v>
      </c>
      <c r="D20">
        <v>4.0999999999999996</v>
      </c>
      <c r="E20" s="157">
        <f t="shared" si="7"/>
        <v>0.67301794351166322</v>
      </c>
      <c r="F20">
        <v>0.37</v>
      </c>
      <c r="G20">
        <v>400</v>
      </c>
      <c r="H20" s="1">
        <f t="shared" si="8"/>
        <v>102.77777777777777</v>
      </c>
      <c r="I20">
        <f t="shared" si="9"/>
        <v>784</v>
      </c>
      <c r="J20" s="1">
        <f t="shared" si="33"/>
        <v>2.1030256421813087</v>
      </c>
      <c r="K20" s="1">
        <f t="shared" si="34"/>
        <v>15.628743364320025</v>
      </c>
      <c r="L20" s="1">
        <f t="shared" si="35"/>
        <v>10.627545487737615</v>
      </c>
      <c r="M20">
        <f t="shared" si="36"/>
        <v>200</v>
      </c>
      <c r="N20">
        <f t="shared" si="37"/>
        <v>100</v>
      </c>
      <c r="O20" s="158">
        <f t="shared" si="38"/>
        <v>133.33333333333334</v>
      </c>
      <c r="P20" s="1">
        <f t="shared" si="39"/>
        <v>11.54122586903633</v>
      </c>
      <c r="Q20">
        <f t="shared" si="17"/>
        <v>0.33944954128440363</v>
      </c>
      <c r="R20" s="157">
        <f t="shared" si="18"/>
        <v>0.64052287581699352</v>
      </c>
      <c r="S20" s="157">
        <f t="shared" si="0"/>
        <v>0.84255857765432107</v>
      </c>
      <c r="T20" s="157">
        <f t="shared" si="1"/>
        <v>0.33333333333333331</v>
      </c>
      <c r="U20" s="157">
        <f t="shared" si="2"/>
        <v>6.2218987681659919E-2</v>
      </c>
      <c r="V20">
        <f t="shared" si="3"/>
        <v>165</v>
      </c>
      <c r="W20">
        <f t="shared" si="4"/>
        <v>280</v>
      </c>
      <c r="X20" s="1">
        <f t="shared" si="5"/>
        <v>186.66666666666666</v>
      </c>
      <c r="Y20" s="1">
        <f t="shared" si="19"/>
        <v>631.66666666666663</v>
      </c>
      <c r="Z20">
        <f t="shared" si="20"/>
        <v>0.57213815114598943</v>
      </c>
      <c r="AA20">
        <f t="shared" si="21"/>
        <v>1585.4005988072167</v>
      </c>
      <c r="AB20" s="158">
        <f t="shared" si="6"/>
        <v>1133352.2778594312</v>
      </c>
      <c r="AC20" s="158">
        <f t="shared" si="22"/>
        <v>1380142.78083885</v>
      </c>
      <c r="AD20">
        <f t="shared" si="23"/>
        <v>0.32501779659990726</v>
      </c>
      <c r="AF20">
        <f t="shared" si="24"/>
        <v>0.10833926553330242</v>
      </c>
      <c r="AG20" s="163">
        <f t="shared" si="25"/>
        <v>0.15445954338494491</v>
      </c>
      <c r="AY20" s="1"/>
    </row>
    <row r="21" spans="1:54" x14ac:dyDescent="0.4">
      <c r="A21">
        <v>19</v>
      </c>
      <c r="B21">
        <v>17.5</v>
      </c>
      <c r="C21">
        <v>72</v>
      </c>
      <c r="D21">
        <v>3.1</v>
      </c>
      <c r="E21" s="157">
        <f t="shared" si="7"/>
        <v>0.55996693696566202</v>
      </c>
      <c r="F21">
        <v>0.02</v>
      </c>
      <c r="G21">
        <v>400</v>
      </c>
      <c r="H21" s="1">
        <f t="shared" si="8"/>
        <v>5.5555555555555554</v>
      </c>
      <c r="I21">
        <f t="shared" si="9"/>
        <v>784</v>
      </c>
      <c r="J21" s="1">
        <f t="shared" si="33"/>
        <v>1.9997841349135161</v>
      </c>
      <c r="K21" s="1">
        <f t="shared" si="34"/>
        <v>14.902402932025993</v>
      </c>
      <c r="L21" s="1">
        <f t="shared" si="35"/>
        <v>10.729730111058716</v>
      </c>
      <c r="M21" s="158">
        <f t="shared" si="36"/>
        <v>1130.5555555555557</v>
      </c>
      <c r="N21">
        <f t="shared" si="37"/>
        <v>100</v>
      </c>
      <c r="O21" s="158">
        <f t="shared" si="38"/>
        <v>133.33333333333334</v>
      </c>
      <c r="P21" s="1">
        <f t="shared" si="39"/>
        <v>3.0593935143548263</v>
      </c>
      <c r="Q21">
        <f t="shared" si="17"/>
        <v>2.7027027027027029E-2</v>
      </c>
      <c r="R21" s="157">
        <f t="shared" si="18"/>
        <v>0.64052287581699352</v>
      </c>
      <c r="S21" s="157">
        <f t="shared" si="0"/>
        <v>0.80859375</v>
      </c>
      <c r="T21" s="157">
        <f t="shared" si="1"/>
        <v>0.33333333333333331</v>
      </c>
      <c r="U21" s="157">
        <f t="shared" si="2"/>
        <v>5.8862749067760026E-2</v>
      </c>
      <c r="V21">
        <f t="shared" si="3"/>
        <v>165</v>
      </c>
      <c r="W21">
        <f t="shared" si="4"/>
        <v>1582.7777777777778</v>
      </c>
      <c r="X21" s="1">
        <f t="shared" si="5"/>
        <v>186.66666666666666</v>
      </c>
      <c r="Y21" s="1">
        <f t="shared" si="19"/>
        <v>1934.4444444444446</v>
      </c>
      <c r="Z21">
        <f t="shared" si="20"/>
        <v>4.3717390799096555E-2</v>
      </c>
      <c r="AA21">
        <f t="shared" si="21"/>
        <v>1308.568863756919</v>
      </c>
      <c r="AB21" s="158">
        <f t="shared" si="6"/>
        <v>265207.95674169797</v>
      </c>
      <c r="AC21" s="158">
        <f t="shared" si="22"/>
        <v>1447144.5144523759</v>
      </c>
      <c r="AD21">
        <f t="shared" si="23"/>
        <v>2.72935380315509E-2</v>
      </c>
      <c r="AF21">
        <f t="shared" si="24"/>
        <v>9.0978460105169655E-3</v>
      </c>
      <c r="AG21" s="163">
        <f t="shared" si="25"/>
        <v>-4.0667057046726088E-2</v>
      </c>
      <c r="AX21" s="90"/>
    </row>
    <row r="22" spans="1:54" x14ac:dyDescent="0.4">
      <c r="A22">
        <v>20</v>
      </c>
      <c r="B22">
        <v>16.899999999999999</v>
      </c>
      <c r="C22">
        <v>76</v>
      </c>
      <c r="D22">
        <v>2.7</v>
      </c>
      <c r="E22" s="157">
        <f t="shared" si="7"/>
        <v>0.46208500981795919</v>
      </c>
      <c r="F22">
        <v>0</v>
      </c>
      <c r="G22">
        <v>400</v>
      </c>
      <c r="H22" s="1">
        <f t="shared" si="8"/>
        <v>0</v>
      </c>
      <c r="I22">
        <f t="shared" si="9"/>
        <v>784</v>
      </c>
      <c r="J22" s="1">
        <f t="shared" si="33"/>
        <v>1.9252925509001768</v>
      </c>
      <c r="K22" s="1">
        <f t="shared" si="34"/>
        <v>14.376969127938299</v>
      </c>
      <c r="L22" s="1">
        <f t="shared" si="35"/>
        <v>10.926496537233106</v>
      </c>
      <c r="M22">
        <f t="shared" si="36"/>
        <v>1200</v>
      </c>
      <c r="N22">
        <f t="shared" si="37"/>
        <v>100</v>
      </c>
      <c r="O22" s="158">
        <f t="shared" si="38"/>
        <v>133.33333333333334</v>
      </c>
      <c r="P22" s="1">
        <f t="shared" si="39"/>
        <v>2.4073064586315298</v>
      </c>
      <c r="Q22">
        <f t="shared" si="17"/>
        <v>0</v>
      </c>
      <c r="R22" s="157">
        <f t="shared" si="18"/>
        <v>0.64052287581699352</v>
      </c>
      <c r="S22" s="157">
        <f t="shared" si="0"/>
        <v>0.78181758999999995</v>
      </c>
      <c r="T22" s="157">
        <f t="shared" si="1"/>
        <v>0.33333333333333331</v>
      </c>
      <c r="U22" s="157">
        <f t="shared" si="2"/>
        <v>5.6464923145548844E-2</v>
      </c>
      <c r="V22">
        <f t="shared" si="3"/>
        <v>165</v>
      </c>
      <c r="W22">
        <f t="shared" si="4"/>
        <v>1680</v>
      </c>
      <c r="X22" s="1">
        <f t="shared" si="5"/>
        <v>186.66666666666666</v>
      </c>
      <c r="Y22" s="1">
        <f t="shared" si="19"/>
        <v>2031.6666666666667</v>
      </c>
      <c r="Z22">
        <f t="shared" si="20"/>
        <v>0</v>
      </c>
      <c r="AA22">
        <f t="shared" si="21"/>
        <v>1224</v>
      </c>
      <c r="AB22" s="158">
        <f t="shared" si="6"/>
        <v>0</v>
      </c>
      <c r="AC22" s="158">
        <f t="shared" si="22"/>
        <v>1498176</v>
      </c>
      <c r="AD22">
        <f t="shared" si="23"/>
        <v>0</v>
      </c>
      <c r="AF22">
        <f t="shared" si="24"/>
        <v>0</v>
      </c>
      <c r="AG22" s="159">
        <f t="shared" si="25"/>
        <v>-5.6464923145548844E-2</v>
      </c>
      <c r="AX22" s="90"/>
    </row>
    <row r="23" spans="1:54" x14ac:dyDescent="0.4">
      <c r="A23">
        <v>21</v>
      </c>
      <c r="B23">
        <v>16</v>
      </c>
      <c r="C23">
        <v>77</v>
      </c>
      <c r="D23">
        <v>2.1</v>
      </c>
      <c r="E23" s="157">
        <f t="shared" si="7"/>
        <v>0.41817000729429987</v>
      </c>
      <c r="F23">
        <v>0</v>
      </c>
      <c r="G23">
        <v>400</v>
      </c>
      <c r="H23" s="1">
        <f t="shared" si="8"/>
        <v>0</v>
      </c>
      <c r="I23">
        <f t="shared" si="9"/>
        <v>784</v>
      </c>
      <c r="J23" s="1">
        <f t="shared" si="33"/>
        <v>1.8181122957281406</v>
      </c>
      <c r="K23" s="1">
        <f t="shared" si="34"/>
        <v>13.61886579245799</v>
      </c>
      <c r="L23" s="1">
        <f t="shared" si="35"/>
        <v>10.486526660192654</v>
      </c>
      <c r="M23">
        <f t="shared" si="36"/>
        <v>1200</v>
      </c>
      <c r="N23">
        <f t="shared" si="37"/>
        <v>100</v>
      </c>
      <c r="O23" s="158">
        <f t="shared" si="38"/>
        <v>133.33333333333334</v>
      </c>
      <c r="P23" s="1">
        <f t="shared" si="39"/>
        <v>2.1853528829758164</v>
      </c>
      <c r="Q23">
        <f t="shared" si="17"/>
        <v>0</v>
      </c>
      <c r="R23" s="157">
        <f t="shared" si="18"/>
        <v>0.64052287581699352</v>
      </c>
      <c r="S23" s="157">
        <f t="shared" si="0"/>
        <v>0.7399</v>
      </c>
      <c r="T23" s="157">
        <f t="shared" si="1"/>
        <v>0.33333333333333331</v>
      </c>
      <c r="U23" s="157">
        <f t="shared" si="2"/>
        <v>5.3050079827863944E-2</v>
      </c>
      <c r="V23">
        <f t="shared" si="3"/>
        <v>165</v>
      </c>
      <c r="W23">
        <f t="shared" si="4"/>
        <v>1680</v>
      </c>
      <c r="X23" s="1">
        <f t="shared" si="5"/>
        <v>186.66666666666666</v>
      </c>
      <c r="Y23" s="1">
        <f t="shared" si="19"/>
        <v>2031.6666666666667</v>
      </c>
      <c r="Z23">
        <f t="shared" si="20"/>
        <v>0</v>
      </c>
      <c r="AA23">
        <f t="shared" si="21"/>
        <v>1224</v>
      </c>
      <c r="AB23" s="158">
        <f t="shared" si="6"/>
        <v>0</v>
      </c>
      <c r="AC23" s="158">
        <f t="shared" si="22"/>
        <v>1498176</v>
      </c>
      <c r="AD23">
        <f t="shared" si="23"/>
        <v>0</v>
      </c>
      <c r="AF23">
        <f t="shared" si="24"/>
        <v>0</v>
      </c>
      <c r="AG23" s="159">
        <f t="shared" si="25"/>
        <v>-5.3050079827863944E-2</v>
      </c>
    </row>
    <row r="24" spans="1:54" x14ac:dyDescent="0.4">
      <c r="A24">
        <v>22</v>
      </c>
      <c r="B24">
        <v>15</v>
      </c>
      <c r="C24">
        <v>81</v>
      </c>
      <c r="D24">
        <v>2.6</v>
      </c>
      <c r="E24" s="157">
        <f t="shared" si="7"/>
        <v>0.3239828388599893</v>
      </c>
      <c r="F24">
        <v>0</v>
      </c>
      <c r="G24">
        <v>400</v>
      </c>
      <c r="H24" s="1">
        <f t="shared" si="8"/>
        <v>0</v>
      </c>
      <c r="I24">
        <f t="shared" si="9"/>
        <v>784</v>
      </c>
      <c r="J24" s="1">
        <f t="shared" si="33"/>
        <v>1.705189010686335</v>
      </c>
      <c r="K24" s="1">
        <f t="shared" si="34"/>
        <v>12.817321616971826</v>
      </c>
      <c r="L24" s="1">
        <f t="shared" si="35"/>
        <v>10.382030509747178</v>
      </c>
      <c r="M24">
        <f t="shared" si="36"/>
        <v>1200</v>
      </c>
      <c r="N24">
        <f t="shared" si="37"/>
        <v>100</v>
      </c>
      <c r="O24" s="158">
        <f t="shared" si="38"/>
        <v>133.33333333333334</v>
      </c>
      <c r="P24" s="1">
        <f t="shared" si="39"/>
        <v>1.6990403073660336</v>
      </c>
      <c r="Q24">
        <f t="shared" si="17"/>
        <v>0</v>
      </c>
      <c r="R24" s="157">
        <f t="shared" si="18"/>
        <v>0.64052287581699352</v>
      </c>
      <c r="S24" s="157">
        <f t="shared" si="0"/>
        <v>0.69135802469135799</v>
      </c>
      <c r="T24" s="157">
        <f t="shared" si="1"/>
        <v>0.33333333333333331</v>
      </c>
      <c r="U24" s="157">
        <f t="shared" si="2"/>
        <v>4.9497474683058325E-2</v>
      </c>
      <c r="V24">
        <f t="shared" si="3"/>
        <v>165</v>
      </c>
      <c r="W24">
        <f t="shared" si="4"/>
        <v>1680</v>
      </c>
      <c r="X24" s="1">
        <f t="shared" si="5"/>
        <v>186.66666666666666</v>
      </c>
      <c r="Y24" s="1">
        <f t="shared" si="19"/>
        <v>2031.6666666666667</v>
      </c>
      <c r="Z24">
        <f t="shared" si="20"/>
        <v>0</v>
      </c>
      <c r="AA24">
        <f t="shared" si="21"/>
        <v>1224</v>
      </c>
      <c r="AB24" s="158">
        <f t="shared" si="6"/>
        <v>0</v>
      </c>
      <c r="AC24" s="158">
        <f t="shared" si="22"/>
        <v>1498176</v>
      </c>
      <c r="AD24">
        <f t="shared" si="23"/>
        <v>0</v>
      </c>
      <c r="AF24">
        <f t="shared" si="24"/>
        <v>0</v>
      </c>
      <c r="AG24" s="159">
        <f t="shared" si="25"/>
        <v>-4.9497474683058325E-2</v>
      </c>
    </row>
    <row r="25" spans="1:54" x14ac:dyDescent="0.4">
      <c r="A25">
        <v>23</v>
      </c>
      <c r="B25">
        <v>14.9</v>
      </c>
      <c r="C25">
        <v>82</v>
      </c>
      <c r="D25">
        <v>2.2000000000000002</v>
      </c>
      <c r="E25" s="157">
        <f t="shared" si="7"/>
        <v>0.30496024935303373</v>
      </c>
      <c r="F25">
        <v>0</v>
      </c>
      <c r="G25">
        <v>400</v>
      </c>
      <c r="H25" s="1">
        <f t="shared" si="8"/>
        <v>0</v>
      </c>
      <c r="I25">
        <f t="shared" si="9"/>
        <v>784</v>
      </c>
      <c r="J25" s="1">
        <f t="shared" si="33"/>
        <v>1.6942424575753088</v>
      </c>
      <c r="K25" s="1">
        <f t="shared" si="34"/>
        <v>12.739461095286117</v>
      </c>
      <c r="L25" s="1">
        <f t="shared" si="35"/>
        <v>10.446358098134615</v>
      </c>
      <c r="M25">
        <f t="shared" si="36"/>
        <v>1200</v>
      </c>
      <c r="N25">
        <f t="shared" si="37"/>
        <v>100</v>
      </c>
      <c r="O25" s="158">
        <f t="shared" si="38"/>
        <v>133.33333333333334</v>
      </c>
      <c r="P25" s="1">
        <f t="shared" si="39"/>
        <v>1.5998393003382574</v>
      </c>
      <c r="Q25">
        <f t="shared" si="17"/>
        <v>0</v>
      </c>
      <c r="R25" s="157">
        <f t="shared" si="18"/>
        <v>0.64052287581699352</v>
      </c>
      <c r="S25" s="157">
        <f t="shared" si="0"/>
        <v>0.68641244432098758</v>
      </c>
      <c r="T25" s="157">
        <f t="shared" si="1"/>
        <v>0.33333333333333331</v>
      </c>
      <c r="U25" s="157">
        <f t="shared" si="2"/>
        <v>4.9155570650829906E-2</v>
      </c>
      <c r="V25">
        <f t="shared" si="3"/>
        <v>165</v>
      </c>
      <c r="W25">
        <f t="shared" si="4"/>
        <v>1680</v>
      </c>
      <c r="X25" s="1">
        <f t="shared" si="5"/>
        <v>186.66666666666666</v>
      </c>
      <c r="Y25" s="1">
        <f t="shared" si="19"/>
        <v>2031.6666666666667</v>
      </c>
      <c r="Z25">
        <f t="shared" si="20"/>
        <v>0</v>
      </c>
      <c r="AA25">
        <f t="shared" si="21"/>
        <v>1224</v>
      </c>
      <c r="AB25" s="158">
        <f t="shared" si="6"/>
        <v>0</v>
      </c>
      <c r="AC25" s="158">
        <f t="shared" si="22"/>
        <v>1498176</v>
      </c>
      <c r="AD25">
        <f t="shared" si="23"/>
        <v>0</v>
      </c>
      <c r="AF25">
        <f t="shared" si="24"/>
        <v>0</v>
      </c>
      <c r="AG25" s="159">
        <f t="shared" si="25"/>
        <v>-4.9155570650829906E-2</v>
      </c>
    </row>
    <row r="26" spans="1:54" x14ac:dyDescent="0.4">
      <c r="A26">
        <v>24</v>
      </c>
      <c r="B26">
        <v>14.8</v>
      </c>
      <c r="C26">
        <v>83</v>
      </c>
      <c r="D26">
        <v>2.5</v>
      </c>
      <c r="E26" s="157">
        <f t="shared" si="7"/>
        <v>0.2861671510742535</v>
      </c>
      <c r="F26">
        <v>0</v>
      </c>
      <c r="G26">
        <v>400</v>
      </c>
      <c r="H26" s="1">
        <f t="shared" si="8"/>
        <v>0</v>
      </c>
      <c r="I26">
        <f t="shared" si="9"/>
        <v>784</v>
      </c>
      <c r="J26" s="1">
        <f t="shared" si="33"/>
        <v>1.683357575686244</v>
      </c>
      <c r="K26" s="1">
        <f t="shared" si="34"/>
        <v>12.662010379693028</v>
      </c>
      <c r="L26" s="1">
        <f t="shared" si="35"/>
        <v>10.509468615145213</v>
      </c>
      <c r="M26">
        <f t="shared" si="36"/>
        <v>1200</v>
      </c>
      <c r="N26">
        <f t="shared" si="37"/>
        <v>100</v>
      </c>
      <c r="O26" s="158">
        <f t="shared" si="38"/>
        <v>133.33333333333334</v>
      </c>
      <c r="P26" s="1">
        <f t="shared" si="39"/>
        <v>1.5017733241031266</v>
      </c>
      <c r="Q26">
        <f t="shared" si="17"/>
        <v>0</v>
      </c>
      <c r="R26" s="157">
        <f t="shared" si="18"/>
        <v>0.64052287581699352</v>
      </c>
      <c r="S26" s="157">
        <f t="shared" si="0"/>
        <v>0.68145264000000005</v>
      </c>
      <c r="T26" s="157">
        <f t="shared" si="1"/>
        <v>0.33333333333333331</v>
      </c>
      <c r="U26" s="157">
        <f t="shared" si="2"/>
        <v>4.8816028322264199E-2</v>
      </c>
      <c r="V26">
        <f t="shared" si="3"/>
        <v>165</v>
      </c>
      <c r="W26">
        <f t="shared" si="4"/>
        <v>1680</v>
      </c>
      <c r="X26" s="1">
        <f t="shared" si="5"/>
        <v>186.66666666666666</v>
      </c>
      <c r="Y26" s="1">
        <f t="shared" si="19"/>
        <v>2031.6666666666667</v>
      </c>
      <c r="Z26">
        <f t="shared" si="20"/>
        <v>0</v>
      </c>
      <c r="AA26">
        <f t="shared" si="21"/>
        <v>1224</v>
      </c>
      <c r="AB26" s="158">
        <f t="shared" si="6"/>
        <v>0</v>
      </c>
      <c r="AC26" s="158">
        <f t="shared" si="22"/>
        <v>1498176</v>
      </c>
      <c r="AD26">
        <f t="shared" si="23"/>
        <v>0</v>
      </c>
      <c r="AF26">
        <f t="shared" si="24"/>
        <v>0</v>
      </c>
      <c r="AG26" s="159">
        <f t="shared" si="25"/>
        <v>-4.8816028322264199E-2</v>
      </c>
    </row>
    <row r="29" spans="1:54" x14ac:dyDescent="0.4">
      <c r="BA29" s="100" t="s">
        <v>85</v>
      </c>
      <c r="BB29" s="33"/>
    </row>
    <row r="30" spans="1:54" x14ac:dyDescent="0.4">
      <c r="BA30" s="86">
        <v>400</v>
      </c>
      <c r="BB30" s="94">
        <f t="shared" ref="BB30:BB38" si="40">(1200-BA30)/1200/2</f>
        <v>0.33333333333333331</v>
      </c>
    </row>
    <row r="31" spans="1:54" x14ac:dyDescent="0.4">
      <c r="BA31" s="86">
        <v>500</v>
      </c>
      <c r="BB31" s="94">
        <f t="shared" si="40"/>
        <v>0.29166666666666669</v>
      </c>
    </row>
    <row r="32" spans="1:54" x14ac:dyDescent="0.4">
      <c r="BA32" s="86">
        <v>600</v>
      </c>
      <c r="BB32" s="94">
        <f t="shared" si="40"/>
        <v>0.25</v>
      </c>
    </row>
    <row r="33" spans="53:54" x14ac:dyDescent="0.4">
      <c r="BA33" s="86">
        <v>700</v>
      </c>
      <c r="BB33" s="94">
        <f t="shared" si="40"/>
        <v>0.20833333333333334</v>
      </c>
    </row>
    <row r="34" spans="53:54" x14ac:dyDescent="0.4">
      <c r="BA34" s="86">
        <v>800</v>
      </c>
      <c r="BB34" s="94">
        <f t="shared" si="40"/>
        <v>0.16666666666666666</v>
      </c>
    </row>
    <row r="35" spans="53:54" x14ac:dyDescent="0.4">
      <c r="BA35" s="86">
        <v>900</v>
      </c>
      <c r="BB35" s="94">
        <f t="shared" si="40"/>
        <v>0.125</v>
      </c>
    </row>
    <row r="36" spans="53:54" x14ac:dyDescent="0.4">
      <c r="BA36" s="86">
        <v>1000</v>
      </c>
      <c r="BB36" s="94">
        <f t="shared" si="40"/>
        <v>8.3333333333333329E-2</v>
      </c>
    </row>
    <row r="37" spans="53:54" x14ac:dyDescent="0.4">
      <c r="BA37" s="86">
        <v>1100</v>
      </c>
      <c r="BB37" s="94">
        <f t="shared" si="40"/>
        <v>4.1666666666666664E-2</v>
      </c>
    </row>
    <row r="38" spans="53:54" ht="17.5" thickBot="1" x14ac:dyDescent="0.45">
      <c r="BA38" s="66">
        <v>1200</v>
      </c>
      <c r="BB38" s="71">
        <f t="shared" si="40"/>
        <v>0</v>
      </c>
    </row>
    <row r="50" spans="50:50" x14ac:dyDescent="0.4">
      <c r="AX50" s="1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 &amp; P</vt:lpstr>
      <vt:lpstr>Pn_Simulator</vt:lpstr>
      <vt:lpstr>Pn_24 h_Simulation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2026-04-17T17:33:18Z</dcterms:modified>
</cp:coreProperties>
</file>