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0"/>
  <workbookPr/>
  <mc:AlternateContent xmlns:mc="http://schemas.openxmlformats.org/markup-compatibility/2006">
    <mc:Choice Requires="x15">
      <x15ac:absPath xmlns:x15ac="http://schemas.microsoft.com/office/spreadsheetml/2010/11/ac" url="G:\共用雲端硬碟\環境控制與系統工程實驗室 (Lab 306)\PF simulator\"/>
    </mc:Choice>
  </mc:AlternateContent>
  <xr:revisionPtr revIDLastSave="0" documentId="13_ncr:1_{FAD4E946-656E-48DD-A0DD-A035FF694D06}" xr6:coauthVersionLast="36" xr6:coauthVersionMax="36" xr10:uidLastSave="{00000000-0000-0000-0000-000000000000}"/>
  <bookViews>
    <workbookView xWindow="0" yWindow="0" windowWidth="19200" windowHeight="10680" firstSheet="17" activeTab="18" xr2:uid="{00000000-000D-0000-FFFF-FFFF00000000}"/>
  </bookViews>
  <sheets>
    <sheet name="Chap 1,2 Vps &amp; Vds" sheetId="1" r:id="rId1"/>
    <sheet name="Chap 4 Rlv" sheetId="2" r:id="rId2"/>
    <sheet name="Chap 5 Rav" sheetId="3" r:id="rId3"/>
    <sheet name="Chap 6 Rlv inc." sheetId="4" r:id="rId4"/>
    <sheet name="Chap 7 Tr" sheetId="5" r:id="rId5"/>
    <sheet name="Chap 8 Pn &amp; Rp" sheetId="6" r:id="rId6"/>
    <sheet name="Chap 9 GI" sheetId="7" r:id="rId7"/>
    <sheet name="Chap 10 Gc" sheetId="8" r:id="rId8"/>
    <sheet name="Chap 11 GTI" sheetId="9" r:id="rId9"/>
    <sheet name="chap12 Pn rate" sheetId="24" r:id="rId10"/>
    <sheet name="Chap 13 Kpr" sheetId="16" r:id="rId11"/>
    <sheet name="Chap14 Rd" sheetId="17" r:id="rId12"/>
    <sheet name="Chap15 sim" sheetId="13" r:id="rId13"/>
    <sheet name="Chap16_24 hr" sheetId="14" r:id="rId14"/>
    <sheet name="Chap17_PFAL" sheetId="23" r:id="rId15"/>
    <sheet name="Chap18 PF Light &amp; Irradiance" sheetId="18" r:id="rId16"/>
    <sheet name="Chap19 PF CO2 Balance" sheetId="19" r:id="rId17"/>
    <sheet name="Chap20 PF water Balance " sheetId="20" r:id="rId18"/>
    <sheet name="Chap21 PF Energy Balance " sheetId="21" r:id="rId19"/>
    <sheet name="Chap22_PF simulation" sheetId="15" r:id="rId20"/>
  </sheets>
  <externalReferences>
    <externalReference r:id="rId21"/>
  </externalReferences>
  <definedNames>
    <definedName name="ACH">'[1]chap22_PF simulation'!$H$21</definedName>
    <definedName name="CN">'[1]chap22_PF simulation'!$R$4</definedName>
    <definedName name="CO2in_mg">'[1]chap22_PF simulation'!$F$14</definedName>
    <definedName name="CO2out_mg">'[1]chap22_PF simulation'!$F$15</definedName>
    <definedName name="CV">'[1]chap22_PF simulation'!$R$5</definedName>
    <definedName name="DarkResp">'[1]chap22_PF simulation'!$G$10</definedName>
    <definedName name="DeH">'[1]chap22_PF simulation'!$R$12</definedName>
    <definedName name="Densityin">'[1]chap22_PF simulation'!$G$12</definedName>
    <definedName name="Enth_in">'[1]chap22_PF simulation'!$H$12</definedName>
    <definedName name="Enth_out">'[1]chap22_PF simulation'!$H$13</definedName>
    <definedName name="Gc">'[1]chap22_PF simulation'!$G$6</definedName>
    <definedName name="GI">'[1]chap22_PF simulation'!$G$5</definedName>
    <definedName name="GTI">'[1]chap22_PF simulation'!$G$8</definedName>
    <definedName name="Height">'[1]chap22_PF simulation'!$D$21</definedName>
    <definedName name="Kw">'[1]chap22_PF simulation'!$T$15</definedName>
    <definedName name="LAperPlt">'[1]chap22_PF simulation'!$K$20</definedName>
    <definedName name="Length">'[1]chap22_PF simulation'!$D$19</definedName>
    <definedName name="NetPho">'[1]chap22_PF simulation'!$K$10</definedName>
    <definedName name="NofLamp">'[1]chap22_PF simulation'!$H$23</definedName>
    <definedName name="NoofPlt">'[1]chap22_PF simulation'!$K$21</definedName>
    <definedName name="PhoResp">'[1]chap22_PF simulation'!$K$9</definedName>
    <definedName name="PhotoS">'[1]chap22_PF simulation'!$K$8</definedName>
    <definedName name="Pmax">'[1]chap22_PF simulation'!$D$2</definedName>
    <definedName name="QC">'[1]chap22_PF simulation'!$R$19</definedName>
    <definedName name="QV">'[1]chap22_PF simulation'!$R$18</definedName>
    <definedName name="RatioPhoResp">'[1]chap22_PF simulation'!$G$9</definedName>
    <definedName name="Rav">'[1]chap22_PF simulation'!$K$15</definedName>
    <definedName name="Rd20C">'[1]chap22_PF simulation'!$D$10</definedName>
    <definedName name="Rlv">'[1]chap22_PF simulation'!$K$14</definedName>
    <definedName name="Rlv_inc">'[1]chap22_PF simulation'!$K$16</definedName>
    <definedName name="Tin">'[1]chap22_PF simulation'!$D$12</definedName>
    <definedName name="TotalWofLamp">'[1]chap22_PF simulation'!$K$25</definedName>
    <definedName name="Tout">'[1]chap22_PF simulation'!$D$13</definedName>
    <definedName name="TR">'[1]chap22_PF simulation'!$R$9</definedName>
    <definedName name="Transp_rate">'[1]chap22_PF simulation'!$K$17</definedName>
    <definedName name="Vdin">'[1]chap22_PF simulation'!$K$12</definedName>
    <definedName name="Vdout">'[1]chap22_PF simulation'!$K$13</definedName>
    <definedName name="VolofRoom">'[1]chap22_PF simulation'!$H$19</definedName>
    <definedName name="VW">'[1]chap22_PF simulation'!$R$11</definedName>
    <definedName name="We">'[1]chap22_PF simulation'!$R$17</definedName>
    <definedName name="Width">'[1]chap22_PF simulation'!$D$20</definedName>
    <definedName name="WL">'[1]chap22_PF simulation'!$R$16</definedName>
    <definedName name="Wofequip">'[1]chap22_PF simulation'!$D$26</definedName>
    <definedName name="WperLamp">'[1]chap22_PF simulation'!$D$24</definedName>
  </definedNames>
  <calcPr calcId="191029"/>
  <extLst>
    <ext uri="GoogleSheetsCustomDataVersion1">
      <go:sheetsCustomData xmlns:go="http://customooxmlschemas.google.com/" r:id="rId22" roundtripDataSignature="AMtx7mh3IaA0Zr3x3TmPYofkjGcHWJhPCA=="/>
    </ext>
  </extLst>
</workbook>
</file>

<file path=xl/calcChain.xml><?xml version="1.0" encoding="utf-8"?>
<calcChain xmlns="http://schemas.openxmlformats.org/spreadsheetml/2006/main">
  <c r="H26" i="21" l="1"/>
  <c r="H23" i="21"/>
  <c r="H20" i="21"/>
  <c r="D24" i="21"/>
  <c r="C24" i="21" l="1"/>
  <c r="E20" i="21"/>
  <c r="D21" i="21"/>
  <c r="D20" i="21"/>
  <c r="E21" i="21"/>
  <c r="F21" i="21"/>
  <c r="H17" i="21"/>
  <c r="I17" i="21"/>
  <c r="I14" i="21"/>
  <c r="H14" i="21"/>
  <c r="I8" i="21"/>
  <c r="I11" i="21" s="1"/>
  <c r="H8" i="21"/>
  <c r="H11" i="21" s="1"/>
  <c r="J9" i="1"/>
  <c r="N43" i="24"/>
  <c r="M43" i="24"/>
  <c r="L43" i="24"/>
  <c r="N42" i="24"/>
  <c r="M42" i="24"/>
  <c r="L42" i="24"/>
  <c r="M17" i="24"/>
  <c r="K17" i="24"/>
  <c r="K18" i="24" s="1"/>
  <c r="K19" i="24" s="1"/>
  <c r="K16" i="24"/>
  <c r="M8" i="24"/>
  <c r="L8" i="24"/>
  <c r="M6" i="24"/>
  <c r="L6" i="24"/>
  <c r="K6" i="24"/>
  <c r="K8" i="24" s="1"/>
  <c r="F6" i="24"/>
  <c r="E6" i="24"/>
  <c r="D6" i="24"/>
  <c r="I5" i="24"/>
  <c r="M13" i="24" s="1"/>
  <c r="F3" i="24"/>
  <c r="D3" i="24"/>
  <c r="H3" i="24" s="1"/>
  <c r="K1" i="24"/>
  <c r="J13" i="24" s="1"/>
  <c r="J10" i="24" s="1"/>
  <c r="E1" i="24"/>
  <c r="F20" i="21" l="1"/>
  <c r="G20" i="21" s="1"/>
  <c r="F7" i="24"/>
  <c r="E7" i="24"/>
  <c r="D7" i="24"/>
  <c r="M21" i="24"/>
  <c r="I6" i="24"/>
  <c r="K13" i="24"/>
  <c r="K21" i="24" s="1"/>
  <c r="L13" i="24"/>
  <c r="L21" i="24" s="1"/>
  <c r="J14" i="24"/>
  <c r="M11" i="24" l="1"/>
  <c r="L10" i="24"/>
  <c r="K10" i="24"/>
  <c r="K11" i="24"/>
  <c r="M10" i="24"/>
  <c r="K14" i="24"/>
  <c r="K22" i="24" s="1"/>
  <c r="M14" i="24"/>
  <c r="M22" i="24" s="1"/>
  <c r="L14" i="24"/>
  <c r="L22" i="24" s="1"/>
  <c r="J11" i="24"/>
  <c r="L11" i="24" s="1"/>
  <c r="F17" i="24"/>
  <c r="F16" i="24"/>
  <c r="E14" i="24" l="1"/>
  <c r="E11" i="24"/>
  <c r="E17" i="24"/>
  <c r="F13" i="24"/>
  <c r="F10" i="24"/>
  <c r="E13" i="24"/>
  <c r="E10" i="24"/>
  <c r="D14" i="24"/>
  <c r="D11" i="24"/>
  <c r="F14" i="24"/>
  <c r="F11" i="24"/>
  <c r="E16" i="24"/>
  <c r="D13" i="24"/>
  <c r="D10" i="24"/>
  <c r="D16" i="24"/>
  <c r="D17" i="24"/>
  <c r="F20" i="24" l="1"/>
  <c r="F24" i="24" s="1"/>
  <c r="E19" i="24"/>
  <c r="E23" i="24" s="1"/>
  <c r="D19" i="24"/>
  <c r="D23" i="24" s="1"/>
  <c r="E20" i="24"/>
  <c r="E24" i="24" s="1"/>
  <c r="D20" i="24"/>
  <c r="D24" i="24" s="1"/>
  <c r="F19" i="24"/>
  <c r="F23" i="24" s="1"/>
  <c r="AZ38" i="23" l="1"/>
  <c r="AZ37" i="23"/>
  <c r="AZ36" i="23"/>
  <c r="AZ35" i="23"/>
  <c r="AZ34" i="23"/>
  <c r="AZ33" i="23"/>
  <c r="AZ32" i="23"/>
  <c r="AZ31" i="23"/>
  <c r="AZ30" i="23"/>
  <c r="J5" i="1"/>
  <c r="K5" i="1"/>
  <c r="J6" i="1"/>
  <c r="K6" i="1" s="1"/>
  <c r="J7" i="1"/>
  <c r="K7" i="1"/>
  <c r="J8" i="1"/>
  <c r="K8" i="1"/>
  <c r="K9" i="1"/>
  <c r="J10" i="1"/>
  <c r="K10" i="1" s="1"/>
  <c r="J11" i="1"/>
  <c r="K11" i="1"/>
  <c r="J12" i="1"/>
  <c r="K12" i="1"/>
  <c r="J13" i="1"/>
  <c r="K13" i="1"/>
  <c r="J14" i="1"/>
  <c r="K14" i="1" s="1"/>
  <c r="J15" i="1"/>
  <c r="K15" i="1"/>
  <c r="J16" i="1"/>
  <c r="K16" i="1"/>
  <c r="J17" i="1"/>
  <c r="K17" i="1"/>
  <c r="J18" i="1"/>
  <c r="K18" i="1" s="1"/>
  <c r="J19" i="1"/>
  <c r="K19" i="1"/>
  <c r="J20" i="1"/>
  <c r="K20" i="1"/>
  <c r="K4" i="1"/>
  <c r="J4" i="1"/>
  <c r="D4" i="1" l="1"/>
  <c r="E4" i="1" s="1"/>
  <c r="F4" i="1" s="1"/>
  <c r="H5" i="21"/>
  <c r="H17" i="20"/>
  <c r="H14" i="20"/>
  <c r="I11" i="20"/>
  <c r="H11" i="20"/>
  <c r="H8" i="20"/>
  <c r="H5" i="20"/>
  <c r="E6" i="4"/>
  <c r="J5" i="5"/>
  <c r="L4" i="8"/>
  <c r="E5" i="16"/>
  <c r="G5" i="16" s="1"/>
  <c r="E14" i="19"/>
  <c r="D14" i="19"/>
  <c r="I5" i="18"/>
  <c r="J5" i="4"/>
  <c r="J27" i="4"/>
  <c r="J4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3" i="4"/>
  <c r="F8" i="19"/>
  <c r="F5" i="19"/>
  <c r="H5" i="18"/>
  <c r="J5" i="18"/>
  <c r="C5" i="13"/>
  <c r="H6" i="17"/>
  <c r="H7" i="17"/>
  <c r="H8" i="17"/>
  <c r="H9" i="17"/>
  <c r="H10" i="17"/>
  <c r="H11" i="17"/>
  <c r="H12" i="17"/>
  <c r="H13" i="17"/>
  <c r="H5" i="17"/>
  <c r="D5" i="17"/>
  <c r="G21" i="21" l="1"/>
  <c r="F11" i="19"/>
  <c r="F14" i="19" s="1"/>
  <c r="K10" i="16"/>
  <c r="J5" i="16"/>
  <c r="K5" i="16"/>
  <c r="J6" i="16"/>
  <c r="K6" i="16"/>
  <c r="J7" i="16"/>
  <c r="K7" i="16"/>
  <c r="J8" i="16"/>
  <c r="K8" i="16" s="1"/>
  <c r="J9" i="16"/>
  <c r="K9" i="16" s="1"/>
  <c r="J10" i="16"/>
  <c r="J11" i="16"/>
  <c r="K11" i="16" s="1"/>
  <c r="J12" i="16"/>
  <c r="K12" i="16" s="1"/>
  <c r="J13" i="16"/>
  <c r="K13" i="16" s="1"/>
  <c r="J14" i="16"/>
  <c r="K14" i="16" s="1"/>
  <c r="J15" i="16"/>
  <c r="K15" i="16" s="1"/>
  <c r="J16" i="16"/>
  <c r="K16" i="16" s="1"/>
  <c r="J17" i="16"/>
  <c r="K17" i="16" s="1"/>
  <c r="J18" i="16"/>
  <c r="K18" i="16" s="1"/>
  <c r="P5" i="5"/>
  <c r="I15" i="4" l="1"/>
  <c r="R42" i="15"/>
  <c r="R41" i="15"/>
  <c r="R40" i="15"/>
  <c r="R39" i="15"/>
  <c r="R38" i="15"/>
  <c r="R37" i="15"/>
  <c r="R36" i="15"/>
  <c r="R35" i="15"/>
  <c r="R34" i="15"/>
  <c r="R33" i="15"/>
  <c r="R32" i="15"/>
  <c r="R31" i="15"/>
  <c r="K25" i="15"/>
  <c r="K24" i="15"/>
  <c r="K14" i="15" s="1"/>
  <c r="K23" i="15"/>
  <c r="R19" i="15"/>
  <c r="H19" i="15"/>
  <c r="R18" i="15" s="1"/>
  <c r="R17" i="15"/>
  <c r="R20" i="15" s="1"/>
  <c r="R16" i="15"/>
  <c r="K15" i="15"/>
  <c r="H15" i="15"/>
  <c r="F15" i="15"/>
  <c r="H14" i="15"/>
  <c r="F14" i="15"/>
  <c r="K16" i="15" s="1"/>
  <c r="K13" i="15"/>
  <c r="I13" i="15"/>
  <c r="K12" i="15"/>
  <c r="I12" i="15"/>
  <c r="G10" i="15"/>
  <c r="G9" i="15"/>
  <c r="K9" i="15" s="1"/>
  <c r="K10" i="15" s="1"/>
  <c r="R4" i="15" s="1"/>
  <c r="R3" i="15" s="1"/>
  <c r="G8" i="15"/>
  <c r="F7" i="15"/>
  <c r="G6" i="15" s="1"/>
  <c r="G2" i="15" s="1"/>
  <c r="R5" i="15"/>
  <c r="G5" i="15"/>
  <c r="BA38" i="14"/>
  <c r="BA37" i="14"/>
  <c r="BA36" i="14"/>
  <c r="BA35" i="14"/>
  <c r="BA34" i="14"/>
  <c r="BA33" i="14"/>
  <c r="BA32" i="14"/>
  <c r="BA31" i="14"/>
  <c r="BA30" i="14"/>
  <c r="T26" i="14"/>
  <c r="R26" i="14"/>
  <c r="P26" i="14"/>
  <c r="M26" i="14"/>
  <c r="U26" i="14" s="1"/>
  <c r="I26" i="14"/>
  <c r="J26" i="14" s="1"/>
  <c r="K26" i="14" s="1"/>
  <c r="H26" i="14"/>
  <c r="G26" i="14"/>
  <c r="L26" i="14" s="1"/>
  <c r="V26" i="14" s="1"/>
  <c r="V25" i="14"/>
  <c r="T25" i="14"/>
  <c r="R25" i="14"/>
  <c r="Q25" i="14"/>
  <c r="P25" i="14"/>
  <c r="M25" i="14"/>
  <c r="U25" i="14" s="1"/>
  <c r="L25" i="14"/>
  <c r="I25" i="14"/>
  <c r="J25" i="14" s="1"/>
  <c r="H25" i="14"/>
  <c r="S25" i="14" s="1"/>
  <c r="G25" i="14"/>
  <c r="T24" i="14"/>
  <c r="S24" i="14"/>
  <c r="R24" i="14"/>
  <c r="Q24" i="14"/>
  <c r="N24" i="14"/>
  <c r="W24" i="14" s="1"/>
  <c r="M24" i="14"/>
  <c r="U24" i="14" s="1"/>
  <c r="I24" i="14"/>
  <c r="J24" i="14" s="1"/>
  <c r="H24" i="14"/>
  <c r="G24" i="14"/>
  <c r="W23" i="14"/>
  <c r="T23" i="14"/>
  <c r="S23" i="14"/>
  <c r="R23" i="14"/>
  <c r="Y23" i="14" s="1"/>
  <c r="N23" i="14"/>
  <c r="M23" i="14"/>
  <c r="U23" i="14" s="1"/>
  <c r="J23" i="14"/>
  <c r="I23" i="14"/>
  <c r="H23" i="14"/>
  <c r="Q23" i="14" s="1"/>
  <c r="G23" i="14"/>
  <c r="P23" i="14" s="1"/>
  <c r="U22" i="14"/>
  <c r="T22" i="14"/>
  <c r="S22" i="14"/>
  <c r="R22" i="14"/>
  <c r="Q22" i="14"/>
  <c r="P22" i="14"/>
  <c r="Y22" i="14" s="1"/>
  <c r="M22" i="14"/>
  <c r="I22" i="14"/>
  <c r="J22" i="14" s="1"/>
  <c r="K22" i="14" s="1"/>
  <c r="H22" i="14"/>
  <c r="G22" i="14"/>
  <c r="L22" i="14" s="1"/>
  <c r="V22" i="14" s="1"/>
  <c r="T21" i="14"/>
  <c r="R21" i="14"/>
  <c r="P21" i="14"/>
  <c r="M21" i="14"/>
  <c r="U21" i="14" s="1"/>
  <c r="L21" i="14"/>
  <c r="V21" i="14" s="1"/>
  <c r="I21" i="14"/>
  <c r="J21" i="14" s="1"/>
  <c r="H21" i="14"/>
  <c r="G21" i="14"/>
  <c r="W20" i="14"/>
  <c r="U20" i="14"/>
  <c r="T20" i="14"/>
  <c r="S20" i="14"/>
  <c r="R20" i="14"/>
  <c r="Q20" i="14"/>
  <c r="N20" i="14"/>
  <c r="M20" i="14"/>
  <c r="J20" i="14"/>
  <c r="K20" i="14" s="1"/>
  <c r="I20" i="14"/>
  <c r="H20" i="14"/>
  <c r="G20" i="14"/>
  <c r="T19" i="14"/>
  <c r="S19" i="14"/>
  <c r="R19" i="14"/>
  <c r="N19" i="14"/>
  <c r="W19" i="14" s="1"/>
  <c r="M19" i="14"/>
  <c r="U19" i="14" s="1"/>
  <c r="J19" i="14"/>
  <c r="I19" i="14"/>
  <c r="H19" i="14"/>
  <c r="Q19" i="14" s="1"/>
  <c r="G19" i="14"/>
  <c r="U18" i="14"/>
  <c r="T18" i="14"/>
  <c r="R18" i="14"/>
  <c r="Q18" i="14"/>
  <c r="M18" i="14"/>
  <c r="K18" i="14"/>
  <c r="I18" i="14"/>
  <c r="J18" i="14" s="1"/>
  <c r="H18" i="14"/>
  <c r="G18" i="14"/>
  <c r="L18" i="14" s="1"/>
  <c r="V18" i="14" s="1"/>
  <c r="Y17" i="14"/>
  <c r="U17" i="14"/>
  <c r="T17" i="14"/>
  <c r="R17" i="14"/>
  <c r="Q17" i="14"/>
  <c r="P17" i="14"/>
  <c r="N17" i="14"/>
  <c r="W17" i="14" s="1"/>
  <c r="M17" i="14"/>
  <c r="L17" i="14"/>
  <c r="V17" i="14" s="1"/>
  <c r="J17" i="14"/>
  <c r="I17" i="14"/>
  <c r="H17" i="14"/>
  <c r="S17" i="14" s="1"/>
  <c r="G17" i="14"/>
  <c r="U16" i="14"/>
  <c r="T16" i="14"/>
  <c r="S16" i="14"/>
  <c r="R16" i="14"/>
  <c r="Q16" i="14"/>
  <c r="N16" i="14"/>
  <c r="W16" i="14" s="1"/>
  <c r="M16" i="14"/>
  <c r="K16" i="14"/>
  <c r="J16" i="14"/>
  <c r="I16" i="14"/>
  <c r="H16" i="14"/>
  <c r="G16" i="14"/>
  <c r="T15" i="14"/>
  <c r="R15" i="14"/>
  <c r="M15" i="14"/>
  <c r="U15" i="14" s="1"/>
  <c r="K15" i="14"/>
  <c r="J15" i="14"/>
  <c r="I15" i="14"/>
  <c r="H15" i="14"/>
  <c r="G15" i="14"/>
  <c r="P15" i="14" s="1"/>
  <c r="T14" i="14"/>
  <c r="R14" i="14"/>
  <c r="M14" i="14"/>
  <c r="U14" i="14" s="1"/>
  <c r="I14" i="14"/>
  <c r="J14" i="14" s="1"/>
  <c r="K14" i="14" s="1"/>
  <c r="H14" i="14"/>
  <c r="G14" i="14"/>
  <c r="P14" i="14" s="1"/>
  <c r="U13" i="14"/>
  <c r="T13" i="14"/>
  <c r="R13" i="14"/>
  <c r="Q13" i="14"/>
  <c r="P13" i="14"/>
  <c r="M13" i="14"/>
  <c r="L13" i="14"/>
  <c r="V13" i="14" s="1"/>
  <c r="J13" i="14"/>
  <c r="I13" i="14"/>
  <c r="H13" i="14"/>
  <c r="S13" i="14" s="1"/>
  <c r="G13" i="14"/>
  <c r="T12" i="14"/>
  <c r="S12" i="14"/>
  <c r="R12" i="14"/>
  <c r="Q12" i="14"/>
  <c r="N12" i="14"/>
  <c r="W12" i="14" s="1"/>
  <c r="M12" i="14"/>
  <c r="U12" i="14" s="1"/>
  <c r="K12" i="14"/>
  <c r="I12" i="14"/>
  <c r="J12" i="14" s="1"/>
  <c r="H12" i="14"/>
  <c r="G12" i="14"/>
  <c r="T11" i="14"/>
  <c r="R11" i="14"/>
  <c r="P11" i="14"/>
  <c r="N11" i="14"/>
  <c r="W11" i="14" s="1"/>
  <c r="M11" i="14"/>
  <c r="U11" i="14" s="1"/>
  <c r="L11" i="14"/>
  <c r="V11" i="14" s="1"/>
  <c r="J11" i="14"/>
  <c r="I11" i="14"/>
  <c r="H11" i="14"/>
  <c r="G11" i="14"/>
  <c r="T10" i="14"/>
  <c r="R10" i="14"/>
  <c r="P10" i="14"/>
  <c r="M10" i="14"/>
  <c r="U10" i="14" s="1"/>
  <c r="I10" i="14"/>
  <c r="J10" i="14" s="1"/>
  <c r="H10" i="14"/>
  <c r="S10" i="14" s="1"/>
  <c r="G10" i="14"/>
  <c r="L10" i="14" s="1"/>
  <c r="V10" i="14" s="1"/>
  <c r="T9" i="14"/>
  <c r="R9" i="14"/>
  <c r="Q9" i="14"/>
  <c r="N9" i="14"/>
  <c r="W9" i="14" s="1"/>
  <c r="M9" i="14"/>
  <c r="U9" i="14" s="1"/>
  <c r="J9" i="14"/>
  <c r="I9" i="14"/>
  <c r="H9" i="14"/>
  <c r="S9" i="14" s="1"/>
  <c r="G9" i="14"/>
  <c r="T8" i="14"/>
  <c r="S8" i="14"/>
  <c r="R8" i="14"/>
  <c r="N8" i="14"/>
  <c r="W8" i="14" s="1"/>
  <c r="M8" i="14"/>
  <c r="U8" i="14" s="1"/>
  <c r="K8" i="14"/>
  <c r="J8" i="14"/>
  <c r="I8" i="14"/>
  <c r="H8" i="14"/>
  <c r="Q8" i="14" s="1"/>
  <c r="G8" i="14"/>
  <c r="P8" i="14" s="1"/>
  <c r="U7" i="14"/>
  <c r="T7" i="14"/>
  <c r="S7" i="14"/>
  <c r="R7" i="14"/>
  <c r="Q7" i="14"/>
  <c r="M7" i="14"/>
  <c r="K7" i="14"/>
  <c r="I7" i="14"/>
  <c r="J7" i="14" s="1"/>
  <c r="H7" i="14"/>
  <c r="G7" i="14"/>
  <c r="P7" i="14" s="1"/>
  <c r="U6" i="14"/>
  <c r="X6" i="14" s="1"/>
  <c r="T6" i="14"/>
  <c r="R6" i="14"/>
  <c r="P6" i="14"/>
  <c r="N6" i="14"/>
  <c r="W6" i="14" s="1"/>
  <c r="M6" i="14"/>
  <c r="L6" i="14"/>
  <c r="V6" i="14" s="1"/>
  <c r="J6" i="14"/>
  <c r="I6" i="14"/>
  <c r="H6" i="14"/>
  <c r="S6" i="14" s="1"/>
  <c r="G6" i="14"/>
  <c r="U5" i="14"/>
  <c r="T5" i="14"/>
  <c r="S5" i="14"/>
  <c r="R5" i="14"/>
  <c r="Q5" i="14"/>
  <c r="N5" i="14"/>
  <c r="W5" i="14" s="1"/>
  <c r="M5" i="14"/>
  <c r="K5" i="14"/>
  <c r="J5" i="14"/>
  <c r="I5" i="14"/>
  <c r="H5" i="14"/>
  <c r="G5" i="14"/>
  <c r="T4" i="14"/>
  <c r="R4" i="14"/>
  <c r="P4" i="14"/>
  <c r="M4" i="14"/>
  <c r="U4" i="14" s="1"/>
  <c r="L4" i="14"/>
  <c r="V4" i="14" s="1"/>
  <c r="K4" i="14"/>
  <c r="J4" i="14"/>
  <c r="I4" i="14"/>
  <c r="H4" i="14"/>
  <c r="Q4" i="14" s="1"/>
  <c r="G4" i="14"/>
  <c r="T3" i="14"/>
  <c r="R3" i="14"/>
  <c r="P3" i="14"/>
  <c r="M3" i="14"/>
  <c r="U3" i="14" s="1"/>
  <c r="L3" i="14"/>
  <c r="V3" i="14" s="1"/>
  <c r="K3" i="14"/>
  <c r="J3" i="14"/>
  <c r="I3" i="14"/>
  <c r="H3" i="14"/>
  <c r="S3" i="14" s="1"/>
  <c r="G3" i="14"/>
  <c r="P39" i="13"/>
  <c r="M39" i="13"/>
  <c r="P38" i="13"/>
  <c r="M38" i="13"/>
  <c r="P37" i="13"/>
  <c r="M37" i="13"/>
  <c r="P36" i="13"/>
  <c r="M36" i="13"/>
  <c r="P35" i="13"/>
  <c r="M35" i="13"/>
  <c r="P34" i="13"/>
  <c r="M34" i="13"/>
  <c r="P33" i="13"/>
  <c r="M33" i="13"/>
  <c r="P32" i="13"/>
  <c r="M32" i="13"/>
  <c r="P31" i="13"/>
  <c r="M31" i="13"/>
  <c r="I18" i="13"/>
  <c r="K18" i="13" s="1"/>
  <c r="I11" i="13"/>
  <c r="J11" i="13" s="1"/>
  <c r="F9" i="13"/>
  <c r="E9" i="13"/>
  <c r="D9" i="13"/>
  <c r="M7" i="13"/>
  <c r="M8" i="13" s="1"/>
  <c r="L7" i="13"/>
  <c r="L8" i="13" s="1"/>
  <c r="K7" i="13"/>
  <c r="K8" i="13" s="1"/>
  <c r="I7" i="13"/>
  <c r="C6" i="13"/>
  <c r="E5" i="13"/>
  <c r="C14" i="13" s="1"/>
  <c r="G4" i="13"/>
  <c r="H3" i="13"/>
  <c r="K27" i="13" s="1"/>
  <c r="H2" i="13"/>
  <c r="F2" i="13"/>
  <c r="H1" i="13"/>
  <c r="E24" i="9"/>
  <c r="E19" i="9"/>
  <c r="F19" i="9" s="1"/>
  <c r="E18" i="9"/>
  <c r="F18" i="9" s="1"/>
  <c r="E17" i="9"/>
  <c r="F17" i="9" s="1"/>
  <c r="E16" i="9"/>
  <c r="F16" i="9" s="1"/>
  <c r="E15" i="9"/>
  <c r="F15" i="9" s="1"/>
  <c r="E14" i="9"/>
  <c r="F14" i="9" s="1"/>
  <c r="E13" i="9"/>
  <c r="F13" i="9" s="1"/>
  <c r="E12" i="9"/>
  <c r="F12" i="9" s="1"/>
  <c r="E11" i="9"/>
  <c r="F11" i="9" s="1"/>
  <c r="E10" i="9"/>
  <c r="F10" i="9" s="1"/>
  <c r="D10" i="9"/>
  <c r="C10" i="9"/>
  <c r="E9" i="9"/>
  <c r="F9" i="9" s="1"/>
  <c r="D9" i="9"/>
  <c r="C9" i="9"/>
  <c r="E8" i="9"/>
  <c r="F8" i="9" s="1"/>
  <c r="D8" i="9"/>
  <c r="C8" i="9"/>
  <c r="E7" i="9"/>
  <c r="F7" i="9" s="1"/>
  <c r="D7" i="9"/>
  <c r="C7" i="9"/>
  <c r="E6" i="9"/>
  <c r="F6" i="9" s="1"/>
  <c r="D6" i="9"/>
  <c r="C6" i="9"/>
  <c r="E5" i="9"/>
  <c r="F5" i="9" s="1"/>
  <c r="D5" i="9"/>
  <c r="C5" i="9"/>
  <c r="E4" i="9"/>
  <c r="F4" i="9" s="1"/>
  <c r="D4" i="9"/>
  <c r="C4" i="9"/>
  <c r="E3" i="9"/>
  <c r="F3" i="9" s="1"/>
  <c r="D3" i="9"/>
  <c r="C3" i="9"/>
  <c r="E2" i="9"/>
  <c r="F2" i="9" s="1"/>
  <c r="D2" i="9"/>
  <c r="C2" i="9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N5" i="5"/>
  <c r="K5" i="5"/>
  <c r="M5" i="5" s="1"/>
  <c r="O5" i="5"/>
  <c r="N27" i="4"/>
  <c r="M27" i="4"/>
  <c r="L27" i="4"/>
  <c r="K27" i="4"/>
  <c r="I27" i="4"/>
  <c r="N26" i="4"/>
  <c r="M26" i="4"/>
  <c r="L26" i="4"/>
  <c r="K26" i="4"/>
  <c r="I26" i="4"/>
  <c r="N25" i="4"/>
  <c r="M25" i="4"/>
  <c r="L25" i="4"/>
  <c r="K25" i="4"/>
  <c r="I25" i="4"/>
  <c r="N24" i="4"/>
  <c r="M24" i="4"/>
  <c r="L24" i="4"/>
  <c r="K24" i="4"/>
  <c r="I24" i="4"/>
  <c r="N23" i="4"/>
  <c r="M23" i="4"/>
  <c r="L23" i="4"/>
  <c r="K23" i="4"/>
  <c r="I23" i="4"/>
  <c r="N22" i="4"/>
  <c r="M22" i="4"/>
  <c r="L22" i="4"/>
  <c r="K22" i="4"/>
  <c r="I22" i="4"/>
  <c r="N21" i="4"/>
  <c r="M21" i="4"/>
  <c r="L21" i="4"/>
  <c r="K21" i="4"/>
  <c r="I21" i="4"/>
  <c r="N20" i="4"/>
  <c r="M20" i="4"/>
  <c r="L20" i="4"/>
  <c r="K20" i="4"/>
  <c r="I20" i="4"/>
  <c r="N19" i="4"/>
  <c r="M19" i="4"/>
  <c r="L19" i="4"/>
  <c r="K19" i="4"/>
  <c r="I19" i="4"/>
  <c r="N18" i="4"/>
  <c r="M18" i="4"/>
  <c r="L18" i="4"/>
  <c r="K18" i="4"/>
  <c r="I18" i="4"/>
  <c r="N17" i="4"/>
  <c r="M17" i="4"/>
  <c r="L17" i="4"/>
  <c r="K17" i="4"/>
  <c r="I17" i="4"/>
  <c r="N16" i="4"/>
  <c r="M16" i="4"/>
  <c r="L16" i="4"/>
  <c r="K16" i="4"/>
  <c r="I16" i="4"/>
  <c r="L15" i="4"/>
  <c r="K15" i="4"/>
  <c r="N15" i="4"/>
  <c r="M14" i="4"/>
  <c r="N14" i="4"/>
  <c r="I14" i="4"/>
  <c r="L14" i="4" s="1"/>
  <c r="N13" i="4"/>
  <c r="I13" i="4"/>
  <c r="K13" i="4" s="1"/>
  <c r="N12" i="4"/>
  <c r="I12" i="4"/>
  <c r="L12" i="4" s="1"/>
  <c r="L11" i="4"/>
  <c r="K11" i="4"/>
  <c r="N11" i="4"/>
  <c r="I11" i="4"/>
  <c r="N10" i="4"/>
  <c r="I10" i="4"/>
  <c r="L10" i="4" s="1"/>
  <c r="N9" i="4"/>
  <c r="I9" i="4"/>
  <c r="L9" i="4" s="1"/>
  <c r="M8" i="4"/>
  <c r="N8" i="4"/>
  <c r="I8" i="4"/>
  <c r="L8" i="4" s="1"/>
  <c r="L7" i="4"/>
  <c r="K7" i="4"/>
  <c r="N7" i="4"/>
  <c r="I7" i="4"/>
  <c r="N6" i="4"/>
  <c r="I6" i="4"/>
  <c r="L6" i="4" s="1"/>
  <c r="F6" i="4"/>
  <c r="M5" i="4"/>
  <c r="L5" i="4"/>
  <c r="N5" i="4"/>
  <c r="I5" i="4"/>
  <c r="K5" i="4" s="1"/>
  <c r="K4" i="4"/>
  <c r="N4" i="4"/>
  <c r="I4" i="4"/>
  <c r="L4" i="4" s="1"/>
  <c r="L3" i="4"/>
  <c r="N3" i="4"/>
  <c r="I3" i="4"/>
  <c r="K3" i="4" s="1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C4" i="3"/>
  <c r="C3" i="3"/>
  <c r="B3" i="3"/>
  <c r="J28" i="2"/>
  <c r="I28" i="2"/>
  <c r="H28" i="2"/>
  <c r="J27" i="2"/>
  <c r="I27" i="2"/>
  <c r="H27" i="2"/>
  <c r="J26" i="2"/>
  <c r="I26" i="2"/>
  <c r="H26" i="2"/>
  <c r="J25" i="2"/>
  <c r="I25" i="2"/>
  <c r="H25" i="2"/>
  <c r="J24" i="2"/>
  <c r="I24" i="2"/>
  <c r="H24" i="2"/>
  <c r="J23" i="2"/>
  <c r="I23" i="2"/>
  <c r="H23" i="2"/>
  <c r="J22" i="2"/>
  <c r="I22" i="2"/>
  <c r="H22" i="2"/>
  <c r="J21" i="2"/>
  <c r="I21" i="2"/>
  <c r="H21" i="2"/>
  <c r="J20" i="2"/>
  <c r="I20" i="2"/>
  <c r="H20" i="2"/>
  <c r="J19" i="2"/>
  <c r="I19" i="2"/>
  <c r="H19" i="2"/>
  <c r="J18" i="2"/>
  <c r="I18" i="2"/>
  <c r="H18" i="2"/>
  <c r="J17" i="2"/>
  <c r="I17" i="2"/>
  <c r="H17" i="2"/>
  <c r="J16" i="2"/>
  <c r="I16" i="2"/>
  <c r="H16" i="2"/>
  <c r="J15" i="2"/>
  <c r="I15" i="2"/>
  <c r="H15" i="2"/>
  <c r="D15" i="2"/>
  <c r="J14" i="2"/>
  <c r="I14" i="2"/>
  <c r="H14" i="2"/>
  <c r="J13" i="2"/>
  <c r="I13" i="2"/>
  <c r="H13" i="2"/>
  <c r="J12" i="2"/>
  <c r="I12" i="2"/>
  <c r="H12" i="2"/>
  <c r="J11" i="2"/>
  <c r="I11" i="2"/>
  <c r="H11" i="2"/>
  <c r="J10" i="2"/>
  <c r="I10" i="2"/>
  <c r="H10" i="2"/>
  <c r="J9" i="2"/>
  <c r="I9" i="2"/>
  <c r="H9" i="2"/>
  <c r="J8" i="2"/>
  <c r="I8" i="2"/>
  <c r="H8" i="2"/>
  <c r="J7" i="2"/>
  <c r="I7" i="2"/>
  <c r="H7" i="2"/>
  <c r="J6" i="2"/>
  <c r="I6" i="2"/>
  <c r="H6" i="2"/>
  <c r="J5" i="2"/>
  <c r="I5" i="2"/>
  <c r="H5" i="2"/>
  <c r="C5" i="2"/>
  <c r="E5" i="2" s="1"/>
  <c r="E10" i="2" s="1"/>
  <c r="J4" i="2"/>
  <c r="I4" i="2"/>
  <c r="H4" i="2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M12" i="4" l="1"/>
  <c r="L13" i="4"/>
  <c r="K9" i="4"/>
  <c r="M10" i="4"/>
  <c r="M3" i="4"/>
  <c r="M6" i="4"/>
  <c r="E6" i="13"/>
  <c r="K2" i="13"/>
  <c r="D10" i="13" s="1"/>
  <c r="M11" i="13"/>
  <c r="C12" i="13"/>
  <c r="G3" i="15"/>
  <c r="K17" i="15"/>
  <c r="R9" i="15" s="1"/>
  <c r="R11" i="15"/>
  <c r="O5" i="14"/>
  <c r="O16" i="14"/>
  <c r="AA6" i="14"/>
  <c r="O3" i="14"/>
  <c r="Y7" i="14"/>
  <c r="X11" i="14"/>
  <c r="O8" i="14"/>
  <c r="L7" i="14"/>
  <c r="V7" i="14" s="1"/>
  <c r="X7" i="14" s="1"/>
  <c r="K21" i="14"/>
  <c r="O21" i="14" s="1"/>
  <c r="Q3" i="14"/>
  <c r="Y3" i="14" s="1"/>
  <c r="Y4" i="14"/>
  <c r="Q6" i="14"/>
  <c r="Y6" i="14" s="1"/>
  <c r="Z6" i="14" s="1"/>
  <c r="N7" i="14"/>
  <c r="W7" i="14" s="1"/>
  <c r="L8" i="14"/>
  <c r="V8" i="14" s="1"/>
  <c r="X8" i="14" s="1"/>
  <c r="P9" i="14"/>
  <c r="Y9" i="14" s="1"/>
  <c r="L9" i="14"/>
  <c r="V9" i="14" s="1"/>
  <c r="X9" i="14" s="1"/>
  <c r="AA9" i="14" s="1"/>
  <c r="K9" i="14"/>
  <c r="O9" i="14" s="1"/>
  <c r="K10" i="14"/>
  <c r="O10" i="14" s="1"/>
  <c r="K11" i="14"/>
  <c r="O11" i="14" s="1"/>
  <c r="O12" i="14"/>
  <c r="K13" i="14"/>
  <c r="O13" i="14" s="1"/>
  <c r="N14" i="14"/>
  <c r="W14" i="14" s="1"/>
  <c r="S14" i="14"/>
  <c r="Q14" i="14"/>
  <c r="Y14" i="14" s="1"/>
  <c r="Z14" i="14" s="1"/>
  <c r="Q15" i="14"/>
  <c r="S15" i="14"/>
  <c r="N15" i="14"/>
  <c r="W15" i="14" s="1"/>
  <c r="L15" i="14"/>
  <c r="V15" i="14" s="1"/>
  <c r="P18" i="14"/>
  <c r="Y18" i="14" s="1"/>
  <c r="P19" i="14"/>
  <c r="L19" i="14"/>
  <c r="V19" i="14" s="1"/>
  <c r="X19" i="14" s="1"/>
  <c r="K19" i="14"/>
  <c r="O19" i="14" s="1"/>
  <c r="K25" i="14"/>
  <c r="O25" i="14" s="1"/>
  <c r="X26" i="14"/>
  <c r="P5" i="14"/>
  <c r="Y5" i="14" s="1"/>
  <c r="L5" i="14"/>
  <c r="V5" i="14" s="1"/>
  <c r="X5" i="14" s="1"/>
  <c r="AA5" i="14" s="1"/>
  <c r="X13" i="14"/>
  <c r="AA13" i="14" s="1"/>
  <c r="N3" i="14"/>
  <c r="W3" i="14" s="1"/>
  <c r="X3" i="14" s="1"/>
  <c r="AA3" i="14" s="1"/>
  <c r="N4" i="14"/>
  <c r="W4" i="14" s="1"/>
  <c r="X4" i="14" s="1"/>
  <c r="S4" i="14"/>
  <c r="Y8" i="14"/>
  <c r="Z8" i="14" s="1"/>
  <c r="Y12" i="14"/>
  <c r="Y13" i="14"/>
  <c r="X15" i="14"/>
  <c r="K24" i="14"/>
  <c r="O24" i="14" s="1"/>
  <c r="Y25" i="14"/>
  <c r="O6" i="14"/>
  <c r="K6" i="14"/>
  <c r="N10" i="14"/>
  <c r="W10" i="14" s="1"/>
  <c r="X10" i="14" s="1"/>
  <c r="Q10" i="14"/>
  <c r="Y10" i="14" s="1"/>
  <c r="Q11" i="14"/>
  <c r="Y11" i="14" s="1"/>
  <c r="Z11" i="14" s="1"/>
  <c r="S11" i="14"/>
  <c r="P12" i="14"/>
  <c r="L12" i="14"/>
  <c r="V12" i="14" s="1"/>
  <c r="X12" i="14" s="1"/>
  <c r="AA12" i="14" s="1"/>
  <c r="L14" i="14"/>
  <c r="V14" i="14" s="1"/>
  <c r="X14" i="14" s="1"/>
  <c r="AA14" i="14" s="1"/>
  <c r="P16" i="14"/>
  <c r="Y16" i="14" s="1"/>
  <c r="L16" i="14"/>
  <c r="V16" i="14" s="1"/>
  <c r="X16" i="14" s="1"/>
  <c r="AA16" i="14" s="1"/>
  <c r="O17" i="14"/>
  <c r="K17" i="14"/>
  <c r="X17" i="14"/>
  <c r="AA17" i="14" s="1"/>
  <c r="S21" i="14"/>
  <c r="Q21" i="14"/>
  <c r="Y21" i="14" s="1"/>
  <c r="N21" i="14"/>
  <c r="W21" i="14" s="1"/>
  <c r="X21" i="14" s="1"/>
  <c r="AA21" i="14" s="1"/>
  <c r="N26" i="14"/>
  <c r="W26" i="14" s="1"/>
  <c r="Q26" i="14"/>
  <c r="Y26" i="14" s="1"/>
  <c r="Z26" i="14" s="1"/>
  <c r="S26" i="14"/>
  <c r="O26" i="14"/>
  <c r="Y15" i="14"/>
  <c r="Z15" i="14" s="1"/>
  <c r="N18" i="14"/>
  <c r="W18" i="14" s="1"/>
  <c r="X18" i="14" s="1"/>
  <c r="AA18" i="14" s="1"/>
  <c r="P20" i="14"/>
  <c r="Y20" i="14" s="1"/>
  <c r="L20" i="14"/>
  <c r="V20" i="14" s="1"/>
  <c r="X20" i="14" s="1"/>
  <c r="AA20" i="14" s="1"/>
  <c r="K23" i="14"/>
  <c r="O23" i="14" s="1"/>
  <c r="N25" i="14"/>
  <c r="W25" i="14" s="1"/>
  <c r="X25" i="14" s="1"/>
  <c r="N13" i="14"/>
  <c r="W13" i="14" s="1"/>
  <c r="S18" i="14"/>
  <c r="Y19" i="14"/>
  <c r="Z19" i="14" s="1"/>
  <c r="N22" i="14"/>
  <c r="W22" i="14" s="1"/>
  <c r="X22" i="14" s="1"/>
  <c r="L23" i="14"/>
  <c r="V23" i="14" s="1"/>
  <c r="X23" i="14" s="1"/>
  <c r="P24" i="14"/>
  <c r="Y24" i="14" s="1"/>
  <c r="L24" i="14"/>
  <c r="V24" i="14" s="1"/>
  <c r="X24" i="14" s="1"/>
  <c r="AA24" i="14" s="1"/>
  <c r="F10" i="13"/>
  <c r="E10" i="13"/>
  <c r="N11" i="13"/>
  <c r="K19" i="13"/>
  <c r="K20" i="13" s="1"/>
  <c r="M20" i="13" s="1"/>
  <c r="I12" i="13"/>
  <c r="I8" i="13"/>
  <c r="L11" i="13"/>
  <c r="C13" i="13"/>
  <c r="G5" i="13"/>
  <c r="M4" i="4"/>
  <c r="K6" i="4"/>
  <c r="M7" i="4"/>
  <c r="K8" i="4"/>
  <c r="M9" i="4"/>
  <c r="K10" i="4"/>
  <c r="M11" i="4"/>
  <c r="K12" i="4"/>
  <c r="M13" i="4"/>
  <c r="K14" i="4"/>
  <c r="M15" i="4"/>
  <c r="L5" i="5"/>
  <c r="Q5" i="5" s="1"/>
  <c r="K3" i="15" l="1"/>
  <c r="K2" i="15"/>
  <c r="K5" i="15" s="1"/>
  <c r="R10" i="15"/>
  <c r="AA25" i="14"/>
  <c r="Z25" i="14"/>
  <c r="Z18" i="14"/>
  <c r="AB14" i="14"/>
  <c r="AC14" i="14" s="1"/>
  <c r="AA7" i="14"/>
  <c r="Z7" i="14"/>
  <c r="Z24" i="14"/>
  <c r="AB11" i="14"/>
  <c r="AC11" i="14" s="1"/>
  <c r="AA4" i="14"/>
  <c r="Z4" i="14"/>
  <c r="Z5" i="14"/>
  <c r="Z9" i="14"/>
  <c r="AA22" i="14"/>
  <c r="Z22" i="14"/>
  <c r="AA10" i="14"/>
  <c r="Z10" i="14"/>
  <c r="AA23" i="14"/>
  <c r="Z23" i="14"/>
  <c r="Z21" i="14"/>
  <c r="Z3" i="14"/>
  <c r="Z12" i="14"/>
  <c r="AA26" i="14"/>
  <c r="AB26" i="14" s="1"/>
  <c r="AC26" i="14" s="1"/>
  <c r="Z20" i="14"/>
  <c r="O14" i="14"/>
  <c r="O20" i="14"/>
  <c r="AA19" i="14"/>
  <c r="AB19" i="14" s="1"/>
  <c r="AC19" i="14" s="1"/>
  <c r="O18" i="14"/>
  <c r="O22" i="14"/>
  <c r="O7" i="14"/>
  <c r="AA11" i="14"/>
  <c r="AA15" i="14"/>
  <c r="AB15" i="14" s="1"/>
  <c r="AC15" i="14" s="1"/>
  <c r="AC8" i="14"/>
  <c r="AB8" i="14"/>
  <c r="AB6" i="14"/>
  <c r="AC6" i="14" s="1"/>
  <c r="Z17" i="14"/>
  <c r="Z16" i="14"/>
  <c r="Z13" i="14"/>
  <c r="AA8" i="14"/>
  <c r="O15" i="14"/>
  <c r="O4" i="14"/>
  <c r="L12" i="13"/>
  <c r="K24" i="13" s="1"/>
  <c r="J12" i="13"/>
  <c r="L16" i="13" s="1"/>
  <c r="N12" i="13"/>
  <c r="M12" i="13"/>
  <c r="L24" i="13" s="1"/>
  <c r="M23" i="13"/>
  <c r="M24" i="13"/>
  <c r="L23" i="13"/>
  <c r="K23" i="13"/>
  <c r="M15" i="13"/>
  <c r="E19" i="13" s="1"/>
  <c r="L15" i="13"/>
  <c r="D19" i="13" s="1"/>
  <c r="M16" i="13"/>
  <c r="N15" i="13"/>
  <c r="F19" i="13" s="1"/>
  <c r="AE15" i="14" l="1"/>
  <c r="AF15" i="14" s="1"/>
  <c r="AE19" i="14"/>
  <c r="AF19" i="14" s="1"/>
  <c r="AF11" i="14"/>
  <c r="AE11" i="14"/>
  <c r="AE14" i="14"/>
  <c r="AF14" i="14"/>
  <c r="AF6" i="14"/>
  <c r="AE6" i="14"/>
  <c r="AE26" i="14"/>
  <c r="AF26" i="14"/>
  <c r="AC17" i="14"/>
  <c r="AB17" i="14"/>
  <c r="AB10" i="14"/>
  <c r="AC10" i="14"/>
  <c r="AB20" i="14"/>
  <c r="AC20" i="14" s="1"/>
  <c r="AB12" i="14"/>
  <c r="AC12" i="14"/>
  <c r="AB21" i="14"/>
  <c r="AC21" i="14" s="1"/>
  <c r="AB5" i="14"/>
  <c r="AC5" i="14"/>
  <c r="AC3" i="14"/>
  <c r="AB3" i="14"/>
  <c r="AB9" i="14"/>
  <c r="AC9" i="14"/>
  <c r="AC13" i="14"/>
  <c r="AB13" i="14"/>
  <c r="AB23" i="14"/>
  <c r="AC23" i="14" s="1"/>
  <c r="AB22" i="14"/>
  <c r="AC22" i="14" s="1"/>
  <c r="AB4" i="14"/>
  <c r="AC4" i="14" s="1"/>
  <c r="AB24" i="14"/>
  <c r="AC24" i="14" s="1"/>
  <c r="AB25" i="14"/>
  <c r="AC25" i="14" s="1"/>
  <c r="AE8" i="14"/>
  <c r="AF8" i="14" s="1"/>
  <c r="AB16" i="14"/>
  <c r="AC16" i="14"/>
  <c r="AC7" i="14"/>
  <c r="AB7" i="14"/>
  <c r="AB18" i="14"/>
  <c r="AC18" i="14" s="1"/>
  <c r="D16" i="13"/>
  <c r="D13" i="13"/>
  <c r="D20" i="13"/>
  <c r="E16" i="13"/>
  <c r="E13" i="13"/>
  <c r="D15" i="13"/>
  <c r="D12" i="13"/>
  <c r="E20" i="13"/>
  <c r="F15" i="13"/>
  <c r="F12" i="13"/>
  <c r="N16" i="13"/>
  <c r="E15" i="13"/>
  <c r="E12" i="13"/>
  <c r="AE25" i="14" l="1"/>
  <c r="AF25" i="14" s="1"/>
  <c r="AE23" i="14"/>
  <c r="AF23" i="14" s="1"/>
  <c r="AE20" i="14"/>
  <c r="AF20" i="14" s="1"/>
  <c r="AE22" i="14"/>
  <c r="AF22" i="14"/>
  <c r="AE24" i="14"/>
  <c r="AF24" i="14" s="1"/>
  <c r="AE21" i="14"/>
  <c r="AF21" i="14" s="1"/>
  <c r="AE18" i="14"/>
  <c r="AF18" i="14"/>
  <c r="AE4" i="14"/>
  <c r="AF4" i="14" s="1"/>
  <c r="AE7" i="14"/>
  <c r="AF7" i="14"/>
  <c r="AE13" i="14"/>
  <c r="AF13" i="14" s="1"/>
  <c r="AE9" i="14"/>
  <c r="AF9" i="14" s="1"/>
  <c r="AE12" i="14"/>
  <c r="AF12" i="14"/>
  <c r="AE3" i="14"/>
  <c r="AF3" i="14"/>
  <c r="AE16" i="14"/>
  <c r="AF16" i="14" s="1"/>
  <c r="AE5" i="14"/>
  <c r="AF5" i="14"/>
  <c r="AE10" i="14"/>
  <c r="AF10" i="14"/>
  <c r="AE17" i="14"/>
  <c r="AF17" i="14" s="1"/>
  <c r="F22" i="13"/>
  <c r="F25" i="13" s="1"/>
  <c r="D23" i="13"/>
  <c r="D26" i="13" s="1"/>
  <c r="E22" i="13"/>
  <c r="E25" i="13" s="1"/>
  <c r="I26" i="13" s="1"/>
  <c r="E23" i="13"/>
  <c r="E26" i="13" s="1"/>
  <c r="F16" i="13"/>
  <c r="F13" i="13"/>
  <c r="F20" i="13"/>
  <c r="D22" i="13"/>
  <c r="D25" i="13" s="1"/>
  <c r="K26" i="13" l="1"/>
  <c r="K28" i="13" s="1"/>
  <c r="F23" i="13"/>
  <c r="F26" i="13" s="1"/>
</calcChain>
</file>

<file path=xl/sharedStrings.xml><?xml version="1.0" encoding="utf-8"?>
<sst xmlns="http://schemas.openxmlformats.org/spreadsheetml/2006/main" count="603" uniqueCount="395">
  <si>
    <t>相對溼度 (RH%)</t>
  </si>
  <si>
    <t>Input</t>
  </si>
  <si>
    <r>
      <rPr>
        <sz val="12"/>
        <color theme="1"/>
        <rFont val="標楷體"/>
        <family val="4"/>
        <charset val="136"/>
      </rPr>
      <t>輸出值</t>
    </r>
  </si>
  <si>
    <r>
      <rPr>
        <sz val="12"/>
        <color theme="1"/>
        <rFont val="標楷體"/>
        <family val="4"/>
        <charset val="136"/>
      </rPr>
      <t>相對溼度</t>
    </r>
    <r>
      <rPr>
        <sz val="12"/>
        <color theme="1"/>
        <rFont val="Times New Roman"/>
        <family val="1"/>
      </rPr>
      <t xml:space="preserve"> (RH%)</t>
    </r>
  </si>
  <si>
    <r>
      <t>溫度 (</t>
    </r>
    <r>
      <rPr>
        <sz val="12"/>
        <color theme="1"/>
        <rFont val="新細明體"/>
        <family val="1"/>
        <charset val="136"/>
      </rPr>
      <t>℃</t>
    </r>
    <r>
      <rPr>
        <sz val="12"/>
        <color theme="1"/>
        <rFont val="新細明體"/>
        <family val="1"/>
        <charset val="136"/>
      </rPr>
      <t>)</t>
    </r>
  </si>
  <si>
    <t xml:space="preserve"> </t>
  </si>
  <si>
    <r>
      <rPr>
        <sz val="12"/>
        <color theme="1"/>
        <rFont val="標楷體"/>
        <family val="4"/>
        <charset val="136"/>
      </rPr>
      <t>輸入值</t>
    </r>
    <r>
      <rPr>
        <sz val="12"/>
        <color theme="1"/>
        <rFont val="Times New Roman"/>
        <family val="1"/>
      </rPr>
      <t xml:space="preserve"> (</t>
    </r>
    <r>
      <rPr>
        <sz val="12"/>
        <color theme="1"/>
        <rFont val="標楷體"/>
        <family val="4"/>
        <charset val="136"/>
      </rPr>
      <t>以太陽光為計算依據</t>
    </r>
    <r>
      <rPr>
        <sz val="12"/>
        <color theme="1"/>
        <rFont val="Times New Roman"/>
        <family val="1"/>
      </rPr>
      <t>)</t>
    </r>
  </si>
  <si>
    <t>輸出值</t>
  </si>
  <si>
    <t>Rlv(stomatal resistance, s/m)</t>
  </si>
  <si>
    <t>PAR (W/m2)</t>
  </si>
  <si>
    <r>
      <rPr>
        <sz val="12"/>
        <color theme="1"/>
        <rFont val="標楷體"/>
        <family val="4"/>
        <charset val="136"/>
      </rPr>
      <t>植物需光型態</t>
    </r>
  </si>
  <si>
    <t>std.</t>
  </si>
  <si>
    <t>high</t>
  </si>
  <si>
    <t>low</t>
  </si>
  <si>
    <r>
      <rPr>
        <i/>
        <sz val="12"/>
        <color theme="1"/>
        <rFont val="Times New Roman"/>
        <family val="1"/>
      </rPr>
      <t>Ip</t>
    </r>
    <r>
      <rPr>
        <sz val="12"/>
        <color theme="1"/>
        <rFont val="Times New Roman"/>
        <family val="1"/>
      </rPr>
      <t>, PPFD (μmol m-2s-1)</t>
    </r>
  </si>
  <si>
    <t>單位換算 (太陽光)</t>
  </si>
  <si>
    <t>PPFD (μmol m-2s-1)</t>
  </si>
  <si>
    <t>光量單位換算參考資料: https://www.controlledenvironments.org/wp-content/uploads/sites/6/2017/06/Ch01.pdf</t>
  </si>
  <si>
    <r>
      <rPr>
        <sz val="12"/>
        <color theme="1"/>
        <rFont val="標楷體"/>
        <family val="4"/>
        <charset val="136"/>
      </rPr>
      <t>輸入值</t>
    </r>
  </si>
  <si>
    <r>
      <rPr>
        <sz val="12"/>
        <color theme="1"/>
        <rFont val="標楷體"/>
        <family val="4"/>
        <charset val="136"/>
      </rPr>
      <t>輸出值</t>
    </r>
  </si>
  <si>
    <t>Wind velocity, m/s</t>
  </si>
  <si>
    <t>Aerodynamic resistance, s/m</t>
  </si>
  <si>
    <t>CO2 conc. (ppm)</t>
  </si>
  <si>
    <t>CO2 conc. (mg/m3) (25 度)</t>
  </si>
  <si>
    <t>CO2 conc. (mg/m3) (0 度)</t>
  </si>
  <si>
    <t>stomatal resistance increase, s/m(25度)</t>
  </si>
  <si>
    <t>stomatal resistance increase, s/m (0度)</t>
  </si>
  <si>
    <t>Low</t>
  </si>
  <si>
    <t>Std.</t>
  </si>
  <si>
    <r>
      <rPr>
        <sz val="12"/>
        <color theme="1"/>
        <rFont val="標楷體"/>
        <family val="4"/>
        <charset val="136"/>
      </rPr>
      <t>植物需</t>
    </r>
    <r>
      <rPr>
        <sz val="12"/>
        <color theme="1"/>
        <rFont val="Times New Roman"/>
        <family val="1"/>
      </rPr>
      <t xml:space="preserve">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</t>
    </r>
    <r>
      <rPr>
        <sz val="12"/>
        <color theme="1"/>
        <rFont val="標楷體"/>
        <family val="4"/>
        <charset val="136"/>
      </rPr>
      <t>類型</t>
    </r>
  </si>
  <si>
    <r>
      <rPr>
        <sz val="12"/>
        <color theme="1"/>
        <rFont val="標楷體"/>
        <family val="4"/>
        <charset val="136"/>
      </rPr>
      <t>輸入值</t>
    </r>
  </si>
  <si>
    <r>
      <rPr>
        <sz val="12"/>
        <color theme="1"/>
        <rFont val="標楷體"/>
        <family val="4"/>
        <charset val="136"/>
      </rPr>
      <t>輸出值</t>
    </r>
  </si>
  <si>
    <t>環境溫度 (℃)</t>
  </si>
  <si>
    <r>
      <t>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conc. (ppm)</t>
    </r>
  </si>
  <si>
    <r>
      <t>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conc. (mg/m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) </t>
    </r>
  </si>
  <si>
    <r>
      <rPr>
        <i/>
        <sz val="12"/>
        <color theme="1"/>
        <rFont val="Times New Roman"/>
        <family val="1"/>
      </rPr>
      <t>R</t>
    </r>
    <r>
      <rPr>
        <i/>
        <vertAlign val="subscript"/>
        <sz val="12"/>
        <color theme="1"/>
        <rFont val="Times New Roman"/>
        <family val="1"/>
      </rPr>
      <t>ρ</t>
    </r>
    <r>
      <rPr>
        <sz val="12"/>
        <color theme="1"/>
        <rFont val="Times New Roman"/>
        <family val="1"/>
      </rPr>
      <t xml:space="preserve">, stomatal resistance increase, s/m </t>
    </r>
  </si>
  <si>
    <r>
      <rPr>
        <sz val="16"/>
        <color theme="1"/>
        <rFont val="標楷體"/>
        <family val="4"/>
        <charset val="136"/>
      </rPr>
      <t>植物需光型態</t>
    </r>
  </si>
  <si>
    <r>
      <rPr>
        <sz val="16"/>
        <color theme="1"/>
        <rFont val="標楷體"/>
        <family val="4"/>
        <charset val="136"/>
      </rPr>
      <t>植物需</t>
    </r>
    <r>
      <rPr>
        <sz val="16"/>
        <color theme="1"/>
        <rFont val="Times New Roman"/>
        <family val="1"/>
      </rPr>
      <t xml:space="preserve"> CO</t>
    </r>
    <r>
      <rPr>
        <vertAlign val="sub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</t>
    </r>
    <r>
      <rPr>
        <sz val="16"/>
        <color theme="1"/>
        <rFont val="標楷體"/>
        <family val="4"/>
        <charset val="136"/>
      </rPr>
      <t>類型</t>
    </r>
  </si>
  <si>
    <r>
      <rPr>
        <sz val="16"/>
        <color theme="1"/>
        <rFont val="標楷體"/>
        <family val="4"/>
        <charset val="136"/>
      </rPr>
      <t>輸入值</t>
    </r>
  </si>
  <si>
    <r>
      <rPr>
        <sz val="16"/>
        <color theme="1"/>
        <rFont val="標楷體"/>
        <family val="4"/>
        <charset val="136"/>
      </rPr>
      <t>輸出值</t>
    </r>
  </si>
  <si>
    <r>
      <rPr>
        <sz val="16"/>
        <color theme="1"/>
        <rFont val="標楷體"/>
        <family val="4"/>
        <charset val="136"/>
      </rPr>
      <t>環境溫度</t>
    </r>
    <r>
      <rPr>
        <sz val="16"/>
        <color theme="1"/>
        <rFont val="Times New Roman"/>
        <family val="1"/>
      </rPr>
      <t xml:space="preserve"> (</t>
    </r>
    <r>
      <rPr>
        <sz val="16"/>
        <color theme="1"/>
        <rFont val="標楷體"/>
        <family val="4"/>
        <charset val="136"/>
      </rPr>
      <t>℃</t>
    </r>
    <r>
      <rPr>
        <sz val="16"/>
        <color theme="1"/>
        <rFont val="Times New Roman"/>
        <family val="1"/>
      </rPr>
      <t>)</t>
    </r>
  </si>
  <si>
    <r>
      <rPr>
        <sz val="16"/>
        <color theme="1"/>
        <rFont val="標楷體"/>
        <family val="4"/>
        <charset val="136"/>
      </rPr>
      <t>相對溼度</t>
    </r>
    <r>
      <rPr>
        <sz val="16"/>
        <color theme="1"/>
        <rFont val="Times New Roman"/>
        <family val="1"/>
      </rPr>
      <t xml:space="preserve"> (RH%)</t>
    </r>
  </si>
  <si>
    <r>
      <rPr>
        <sz val="16"/>
        <color theme="1"/>
        <rFont val="標楷體"/>
        <family val="4"/>
        <charset val="136"/>
      </rPr>
      <t>風速</t>
    </r>
    <r>
      <rPr>
        <sz val="16"/>
        <color theme="1"/>
        <rFont val="Times New Roman"/>
        <family val="1"/>
      </rPr>
      <t xml:space="preserve"> (m/s)</t>
    </r>
  </si>
  <si>
    <r>
      <rPr>
        <i/>
        <sz val="16"/>
        <color theme="1"/>
        <rFont val="Times New Roman"/>
        <family val="1"/>
      </rPr>
      <t>Ip</t>
    </r>
    <r>
      <rPr>
        <sz val="16"/>
        <color theme="1"/>
        <rFont val="Times New Roman"/>
        <family val="1"/>
      </rPr>
      <t>, PPFD (W/m2)</t>
    </r>
  </si>
  <si>
    <r>
      <t>CO</t>
    </r>
    <r>
      <rPr>
        <vertAlign val="sub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conc. (ppm)</t>
    </r>
  </si>
  <si>
    <r>
      <t>CO</t>
    </r>
    <r>
      <rPr>
        <vertAlign val="sub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 xml:space="preserve"> conc. (mg/m3)</t>
    </r>
  </si>
  <si>
    <r>
      <t>VPS (</t>
    </r>
    <r>
      <rPr>
        <sz val="16"/>
        <color theme="1"/>
        <rFont val="標楷體"/>
        <family val="4"/>
        <charset val="136"/>
      </rPr>
      <t>蒸汽壓</t>
    </r>
    <r>
      <rPr>
        <sz val="16"/>
        <color theme="1"/>
        <rFont val="Times New Roman"/>
        <family val="1"/>
      </rPr>
      <t>, kPa)</t>
    </r>
  </si>
  <si>
    <r>
      <t>E1(mg/m</t>
    </r>
    <r>
      <rPr>
        <vertAlign val="superscript"/>
        <sz val="16"/>
        <color theme="1"/>
        <rFont val="Times New Roman"/>
        <family val="1"/>
      </rPr>
      <t>3</t>
    </r>
    <r>
      <rPr>
        <sz val="16"/>
        <color theme="1"/>
        <rFont val="Times New Roman"/>
        <family val="1"/>
      </rPr>
      <t>)</t>
    </r>
  </si>
  <si>
    <r>
      <t>Ea (mg/m</t>
    </r>
    <r>
      <rPr>
        <vertAlign val="superscript"/>
        <sz val="16"/>
        <color theme="1"/>
        <rFont val="Times New Roman"/>
        <family val="1"/>
      </rPr>
      <t>3</t>
    </r>
    <r>
      <rPr>
        <sz val="16"/>
        <color theme="1"/>
        <rFont val="Times New Roman"/>
        <family val="1"/>
      </rPr>
      <t>)</t>
    </r>
  </si>
  <si>
    <r>
      <t>R</t>
    </r>
    <r>
      <rPr>
        <i/>
        <vertAlign val="subscript"/>
        <sz val="16"/>
        <color theme="1"/>
        <rFont val="Times New Roman"/>
        <family val="1"/>
      </rPr>
      <t>lv</t>
    </r>
    <r>
      <rPr>
        <i/>
        <sz val="16"/>
        <color theme="1"/>
        <rFont val="Times New Roman"/>
        <family val="1"/>
      </rPr>
      <t xml:space="preserve"> (s/m)</t>
    </r>
  </si>
  <si>
    <t>Rav (s/m)</t>
  </si>
  <si>
    <r>
      <t>Tr (mg/(m</t>
    </r>
    <r>
      <rPr>
        <vertAlign val="superscript"/>
        <sz val="16"/>
        <color theme="1"/>
        <rFont val="Times New Roman"/>
        <family val="1"/>
      </rPr>
      <t>2</t>
    </r>
    <r>
      <rPr>
        <sz val="16"/>
        <color theme="1"/>
        <rFont val="Times New Roman"/>
        <family val="1"/>
      </rPr>
      <t>s))</t>
    </r>
  </si>
  <si>
    <r>
      <t>R</t>
    </r>
    <r>
      <rPr>
        <i/>
        <vertAlign val="subscript"/>
        <sz val="16"/>
        <color theme="1"/>
        <rFont val="Times New Roman"/>
        <family val="1"/>
      </rPr>
      <t>vs</t>
    </r>
    <r>
      <rPr>
        <i/>
        <sz val="16"/>
        <color theme="1"/>
        <rFont val="Times New Roman"/>
        <family val="1"/>
      </rPr>
      <t xml:space="preserve"> (s/m)</t>
    </r>
  </si>
  <si>
    <r>
      <t>R</t>
    </r>
    <r>
      <rPr>
        <i/>
        <vertAlign val="subscript"/>
        <sz val="16"/>
        <color theme="1"/>
        <rFont val="Times New Roman"/>
        <family val="1"/>
      </rPr>
      <t>vc</t>
    </r>
    <r>
      <rPr>
        <i/>
        <sz val="16"/>
        <color theme="1"/>
        <rFont val="Times New Roman"/>
        <family val="1"/>
      </rPr>
      <t xml:space="preserve"> (s/m)</t>
    </r>
  </si>
  <si>
    <t>光補償點</t>
  </si>
  <si>
    <t>光飽和點</t>
  </si>
  <si>
    <t>CO2 補償點</t>
  </si>
  <si>
    <t>CO2飽和點</t>
  </si>
  <si>
    <t>c3 植物在低二氧化碳濃度時會行光呼吸，高二氧化碳時會抑制光呼吸，增加淨光合作用速率</t>
  </si>
  <si>
    <t>KI</t>
  </si>
  <si>
    <r>
      <t>PAR, W/m</t>
    </r>
    <r>
      <rPr>
        <vertAlign val="superscript"/>
        <sz val="12"/>
        <color theme="1"/>
        <rFont val="Times New Roman"/>
        <family val="1"/>
      </rPr>
      <t>2</t>
    </r>
  </si>
  <si>
    <t>GI</t>
  </si>
  <si>
    <r>
      <t>KC, mg/m</t>
    </r>
    <r>
      <rPr>
        <vertAlign val="superscript"/>
        <sz val="12"/>
        <color theme="1"/>
        <rFont val="新細明體"/>
        <family val="1"/>
        <charset val="136"/>
      </rPr>
      <t>3</t>
    </r>
  </si>
  <si>
    <r>
      <rPr>
        <sz val="12"/>
        <color theme="1"/>
        <rFont val="微軟正黑體"/>
        <family val="2"/>
        <charset val="136"/>
      </rPr>
      <t>CO</t>
    </r>
    <r>
      <rPr>
        <vertAlign val="subscript"/>
        <sz val="12"/>
        <color theme="1"/>
        <rFont val="微軟正黑體"/>
        <family val="2"/>
        <charset val="136"/>
      </rPr>
      <t>2 conc.,</t>
    </r>
    <r>
      <rPr>
        <sz val="12"/>
        <color theme="1"/>
        <rFont val="微軟正黑體"/>
        <family val="2"/>
        <charset val="136"/>
      </rPr>
      <t xml:space="preserve"> </t>
    </r>
    <r>
      <rPr>
        <sz val="12"/>
        <color theme="1"/>
        <rFont val="Calibri"/>
        <family val="2"/>
      </rPr>
      <t>ρ</t>
    </r>
    <r>
      <rPr>
        <vertAlign val="subscript"/>
        <sz val="12"/>
        <color theme="1"/>
        <rFont val="Calibri"/>
        <family val="2"/>
      </rPr>
      <t>cc</t>
    </r>
    <r>
      <rPr>
        <sz val="12"/>
        <color theme="1"/>
        <rFont val="微軟正黑體"/>
        <family val="2"/>
        <charset val="136"/>
      </rPr>
      <t>, mg/m</t>
    </r>
    <r>
      <rPr>
        <vertAlign val="superscript"/>
        <sz val="12"/>
        <color theme="1"/>
        <rFont val="微軟正黑體"/>
        <family val="2"/>
        <charset val="136"/>
      </rPr>
      <t>3</t>
    </r>
  </si>
  <si>
    <t>GC</t>
  </si>
  <si>
    <t>Inputs</t>
  </si>
  <si>
    <t>Outputs</t>
  </si>
  <si>
    <r>
      <t>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conc. (ppm)</t>
    </r>
  </si>
  <si>
    <r>
      <t>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conc. (mg/m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) </t>
    </r>
  </si>
  <si>
    <t>Plan A base on a=5</t>
  </si>
  <si>
    <t>Plan A base on a=10</t>
  </si>
  <si>
    <r>
      <t>Leaf temp. T</t>
    </r>
    <r>
      <rPr>
        <i/>
        <vertAlign val="subscript"/>
        <sz val="12"/>
        <color theme="1"/>
        <rFont val="Times New Roman"/>
        <family val="1"/>
      </rPr>
      <t>l</t>
    </r>
    <r>
      <rPr>
        <i/>
        <sz val="12"/>
        <color theme="1"/>
        <rFont val="Times New Roman"/>
        <family val="1"/>
      </rPr>
      <t xml:space="preserve"> ,</t>
    </r>
    <r>
      <rPr>
        <i/>
        <sz val="12"/>
        <color theme="1"/>
        <rFont val="Segoe UI Symbol"/>
        <family val="2"/>
      </rPr>
      <t>℃</t>
    </r>
  </si>
  <si>
    <t>Pmax</t>
    <phoneticPr fontId="28" type="noConversion"/>
  </si>
  <si>
    <t>mg/m2/s =</t>
    <phoneticPr fontId="28" type="noConversion"/>
  </si>
  <si>
    <t>kg/ha/hr</t>
    <phoneticPr fontId="28" type="noConversion"/>
  </si>
  <si>
    <t>Rao.ca,ppm</t>
    <phoneticPr fontId="28" type="noConversion"/>
  </si>
  <si>
    <t>Rao.ca,mg/m3</t>
    <phoneticPr fontId="28" type="noConversion"/>
  </si>
  <si>
    <t>due to temperature</t>
    <phoneticPr fontId="28" type="noConversion"/>
  </si>
  <si>
    <t>Tl, deg.C</t>
    <phoneticPr fontId="28" type="noConversion"/>
  </si>
  <si>
    <t>Tm=</t>
    <phoneticPr fontId="28" type="noConversion"/>
  </si>
  <si>
    <t>a</t>
    <phoneticPr fontId="28" type="noConversion"/>
  </si>
  <si>
    <t>Tl+a</t>
    <phoneticPr fontId="28" type="noConversion"/>
  </si>
  <si>
    <t>Tm+a</t>
    <phoneticPr fontId="28" type="noConversion"/>
  </si>
  <si>
    <t>Gtl</t>
    <phoneticPr fontId="28" type="noConversion"/>
  </si>
  <si>
    <t>light type</t>
    <phoneticPr fontId="28" type="noConversion"/>
  </si>
  <si>
    <t>KI_low</t>
    <phoneticPr fontId="28" type="noConversion"/>
  </si>
  <si>
    <t>KI_std</t>
    <phoneticPr fontId="28" type="noConversion"/>
  </si>
  <si>
    <t>KI_high</t>
    <phoneticPr fontId="28" type="noConversion"/>
  </si>
  <si>
    <t>due to Wind</t>
    <phoneticPr fontId="28" type="noConversion"/>
  </si>
  <si>
    <t>due to light</t>
    <phoneticPr fontId="28" type="noConversion"/>
  </si>
  <si>
    <t>low</t>
    <phoneticPr fontId="28" type="noConversion"/>
  </si>
  <si>
    <t>std</t>
    <phoneticPr fontId="28" type="noConversion"/>
  </si>
  <si>
    <t>high</t>
    <phoneticPr fontId="28" type="noConversion"/>
  </si>
  <si>
    <t>PAR</t>
    <phoneticPr fontId="28" type="noConversion"/>
  </si>
  <si>
    <t>Rav</t>
    <phoneticPr fontId="28" type="noConversion"/>
  </si>
  <si>
    <t>Rlv</t>
    <phoneticPr fontId="28" type="noConversion"/>
  </si>
  <si>
    <t>GI</t>
    <phoneticPr fontId="28" type="noConversion"/>
  </si>
  <si>
    <t>Rac</t>
    <phoneticPr fontId="28" type="noConversion"/>
  </si>
  <si>
    <r>
      <rPr>
        <sz val="12"/>
        <color rgb="FFFF0000"/>
        <rFont val="Calibri"/>
        <family val="1"/>
        <charset val="136"/>
        <scheme val="minor"/>
      </rPr>
      <t>Pm</t>
    </r>
    <r>
      <rPr>
        <sz val="12"/>
        <color theme="1"/>
        <rFont val="Arial"/>
        <family val="2"/>
      </rPr>
      <t>=Pmax*Gtl*GI, in mg/m2/s</t>
    </r>
    <phoneticPr fontId="28" type="noConversion"/>
  </si>
  <si>
    <t>Rlc</t>
    <phoneticPr fontId="28" type="noConversion"/>
  </si>
  <si>
    <t>CO2type</t>
    <phoneticPr fontId="28" type="noConversion"/>
  </si>
  <si>
    <t>Kc</t>
    <phoneticPr fontId="28" type="noConversion"/>
  </si>
  <si>
    <t>in mg/m3</t>
    <phoneticPr fontId="28" type="noConversion"/>
  </si>
  <si>
    <r>
      <t>-B=Rho.ca+</t>
    </r>
    <r>
      <rPr>
        <sz val="12"/>
        <color rgb="FFFF0000"/>
        <rFont val="Calibri"/>
        <family val="1"/>
        <charset val="136"/>
        <scheme val="minor"/>
      </rPr>
      <t>Kc</t>
    </r>
    <r>
      <rPr>
        <sz val="12"/>
        <color theme="1"/>
        <rFont val="Arial"/>
        <family val="2"/>
      </rPr>
      <t>+</t>
    </r>
    <r>
      <rPr>
        <sz val="12"/>
        <color rgb="FFFF0000"/>
        <rFont val="Calibri"/>
        <family val="1"/>
        <charset val="136"/>
        <scheme val="minor"/>
      </rPr>
      <t>Rc</t>
    </r>
    <r>
      <rPr>
        <sz val="12"/>
        <color theme="1"/>
        <rFont val="Arial"/>
        <family val="2"/>
      </rPr>
      <t>*</t>
    </r>
    <r>
      <rPr>
        <sz val="12"/>
        <color rgb="FFFF0000"/>
        <rFont val="Calibri"/>
        <family val="1"/>
        <charset val="136"/>
        <scheme val="minor"/>
      </rPr>
      <t>Pm, all in mg/m3</t>
    </r>
    <phoneticPr fontId="28" type="noConversion"/>
  </si>
  <si>
    <t>due to CO2</t>
    <phoneticPr fontId="28" type="noConversion"/>
  </si>
  <si>
    <t>Rlc.inc.</t>
    <phoneticPr fontId="28" type="noConversion"/>
  </si>
  <si>
    <t>Rc=sum of Rac, Rlc, Rlc.inc, in s/m</t>
    <phoneticPr fontId="28" type="noConversion"/>
  </si>
  <si>
    <t>large</t>
    <phoneticPr fontId="28" type="noConversion"/>
  </si>
  <si>
    <t>small</t>
    <phoneticPr fontId="28" type="noConversion"/>
  </si>
  <si>
    <t>Rlv.inc.</t>
    <phoneticPr fontId="28" type="noConversion"/>
  </si>
  <si>
    <t>Rv=sum of Rav, Rlv, Rlv.inc, in s/m</t>
    <phoneticPr fontId="28" type="noConversion"/>
  </si>
  <si>
    <t>A=Rc</t>
    <phoneticPr fontId="28" type="noConversion"/>
  </si>
  <si>
    <t>4*A*C = 4*Rc*Rao.ca*Pm, in (mg/m3)*(s/m)*(mg/m2/s) =  (mg/m3)^2</t>
    <phoneticPr fontId="28" type="noConversion"/>
  </si>
  <si>
    <t>assuming RH=40%</t>
    <phoneticPr fontId="28" type="noConversion"/>
  </si>
  <si>
    <t>VD_40%RH</t>
    <phoneticPr fontId="28" type="noConversion"/>
  </si>
  <si>
    <t>assuming Tl=Tair</t>
    <phoneticPr fontId="28" type="noConversion"/>
  </si>
  <si>
    <t>VD_100%RH</t>
    <phoneticPr fontId="28" type="noConversion"/>
  </si>
  <si>
    <t>Vps</t>
    <phoneticPr fontId="28" type="noConversion"/>
  </si>
  <si>
    <t>sqrt(B^2-4AC), in (mg/m3)^2</t>
    <phoneticPr fontId="28" type="noConversion"/>
  </si>
  <si>
    <t>as shown in Chap.7</t>
    <phoneticPr fontId="28" type="noConversion"/>
  </si>
  <si>
    <t>VDD=</t>
    <phoneticPr fontId="28" type="noConversion"/>
  </si>
  <si>
    <t>g/m3</t>
    <phoneticPr fontId="28" type="noConversion"/>
  </si>
  <si>
    <t>mg/m3</t>
    <phoneticPr fontId="28" type="noConversion"/>
  </si>
  <si>
    <t>Tr=VDD/Rv</t>
    <phoneticPr fontId="28" type="noConversion"/>
  </si>
  <si>
    <t>in g/m3*m/s</t>
    <phoneticPr fontId="28" type="noConversion"/>
  </si>
  <si>
    <t>P=[-B-sqrt(B^2-4*A*C)]/(2*A), in (mg/m3)*m/s = mg/m2/s</t>
    <phoneticPr fontId="28" type="noConversion"/>
  </si>
  <si>
    <t>=g/m2/s</t>
    <phoneticPr fontId="28" type="noConversion"/>
  </si>
  <si>
    <t>P 計算</t>
    <phoneticPr fontId="28" type="noConversion"/>
  </si>
  <si>
    <t>Chap. 7 to derive Tr, tranpiration rate</t>
    <phoneticPr fontId="28" type="noConversion"/>
  </si>
  <si>
    <t>P 正解</t>
    <phoneticPr fontId="28" type="noConversion"/>
  </si>
  <si>
    <t>CO2 type</t>
    <phoneticPr fontId="28" type="noConversion"/>
  </si>
  <si>
    <t>in mg/m2/s</t>
    <phoneticPr fontId="28" type="noConversion"/>
  </si>
  <si>
    <t>Chap.12 to derive photosynthesis rate</t>
    <phoneticPr fontId="28" type="noConversion"/>
  </si>
  <si>
    <t>Noted that KI and Kc were set to constant</t>
    <phoneticPr fontId="28" type="noConversion"/>
  </si>
  <si>
    <t>Rlv.CO2</t>
    <phoneticPr fontId="28" type="noConversion"/>
  </si>
  <si>
    <t>Rav.CO2</t>
    <phoneticPr fontId="28" type="noConversion"/>
  </si>
  <si>
    <t>Rlv.inc.CO2</t>
    <phoneticPr fontId="28" type="noConversion"/>
  </si>
  <si>
    <t>R.total</t>
    <phoneticPr fontId="28" type="noConversion"/>
  </si>
  <si>
    <t>Pn@Tl=10</t>
    <phoneticPr fontId="28" type="noConversion"/>
  </si>
  <si>
    <t>Pn@Tl=20</t>
    <phoneticPr fontId="28" type="noConversion"/>
  </si>
  <si>
    <t>RH,%</t>
    <phoneticPr fontId="28" type="noConversion"/>
  </si>
  <si>
    <t>a=</t>
    <phoneticPr fontId="28" type="noConversion"/>
  </si>
  <si>
    <t>Q10=</t>
    <phoneticPr fontId="28" type="noConversion"/>
  </si>
  <si>
    <t>Rd(20C)</t>
    <phoneticPr fontId="28" type="noConversion"/>
  </si>
  <si>
    <t>Dark.Resp.= Rd20*Q10^((Tl-20)/10)=</t>
    <phoneticPr fontId="28" type="noConversion"/>
  </si>
  <si>
    <t>in ppm</t>
    <phoneticPr fontId="28" type="noConversion"/>
  </si>
  <si>
    <t>Rho.cc</t>
    <phoneticPr fontId="28" type="noConversion"/>
  </si>
  <si>
    <t>Kpr</t>
    <phoneticPr fontId="28" type="noConversion"/>
  </si>
  <si>
    <t>based on ppm</t>
    <phoneticPr fontId="28" type="noConversion"/>
  </si>
  <si>
    <t>based on mg/m3</t>
    <phoneticPr fontId="28" type="noConversion"/>
  </si>
  <si>
    <t>ratio</t>
    <phoneticPr fontId="28" type="noConversion"/>
  </si>
  <si>
    <t>KI</t>
    <phoneticPr fontId="28" type="noConversion"/>
  </si>
  <si>
    <r>
      <rPr>
        <sz val="12"/>
        <color rgb="FFFF0000"/>
        <rFont val="Calibri"/>
        <family val="1"/>
        <charset val="136"/>
        <scheme val="minor"/>
      </rPr>
      <t>Pm=Pmax*Gtl*GI*Gc</t>
    </r>
    <r>
      <rPr>
        <sz val="12"/>
        <color theme="1"/>
        <rFont val="Arial"/>
        <family val="2"/>
      </rPr>
      <t>, in mg/m2/s</t>
    </r>
    <phoneticPr fontId="28" type="noConversion"/>
  </si>
  <si>
    <t>Rlc.inc</t>
    <phoneticPr fontId="28" type="noConversion"/>
  </si>
  <si>
    <t>Kc, mg/m3</t>
    <phoneticPr fontId="28" type="noConversion"/>
  </si>
  <si>
    <t>Gc, for C3</t>
    <phoneticPr fontId="28" type="noConversion"/>
  </si>
  <si>
    <t>Rc=sum of Rac, Rlc, Rlc.inc, in s/m for C3</t>
    <phoneticPr fontId="28" type="noConversion"/>
  </si>
  <si>
    <t>A=Rc, in s/m</t>
    <phoneticPr fontId="28" type="noConversion"/>
  </si>
  <si>
    <t>Vds</t>
    <phoneticPr fontId="28" type="noConversion"/>
  </si>
  <si>
    <t>in mg/m3/(s/m)</t>
    <phoneticPr fontId="28" type="noConversion"/>
  </si>
  <si>
    <t>=mg/m2/s</t>
    <phoneticPr fontId="28" type="noConversion"/>
  </si>
  <si>
    <t>PhotoS.</t>
    <phoneticPr fontId="28" type="noConversion"/>
  </si>
  <si>
    <t>PhotoR</t>
    <phoneticPr fontId="28" type="noConversion"/>
  </si>
  <si>
    <t xml:space="preserve">PhotoR. = Kpr*PhotoS. </t>
    <phoneticPr fontId="28" type="noConversion"/>
  </si>
  <si>
    <t>Dark R.</t>
    <phoneticPr fontId="28" type="noConversion"/>
  </si>
  <si>
    <t>Net PhotoS.</t>
    <phoneticPr fontId="28" type="noConversion"/>
  </si>
  <si>
    <t>ppm</t>
    <phoneticPr fontId="28" type="noConversion"/>
  </si>
  <si>
    <t>Assumption</t>
    <phoneticPr fontId="28" type="noConversion"/>
  </si>
  <si>
    <t>Pmax=</t>
    <phoneticPr fontId="28" type="noConversion"/>
  </si>
  <si>
    <t>Rd(20C)=</t>
    <phoneticPr fontId="28" type="noConversion"/>
  </si>
  <si>
    <t>Kc=</t>
    <phoneticPr fontId="28" type="noConversion"/>
  </si>
  <si>
    <t>PhotoResp/PhotoS.</t>
    <phoneticPr fontId="28" type="noConversion"/>
  </si>
  <si>
    <t>Dark Respiration</t>
    <phoneticPr fontId="28" type="noConversion"/>
  </si>
  <si>
    <t>A is Rc</t>
    <phoneticPr fontId="28" type="noConversion"/>
  </si>
  <si>
    <t>4*A*C</t>
    <phoneticPr fontId="28" type="noConversion"/>
  </si>
  <si>
    <t>P=(B-sqrt(B^2-4AC))/2/A</t>
    <phoneticPr fontId="28" type="noConversion"/>
  </si>
  <si>
    <t>hr:mn</t>
    <phoneticPr fontId="28" type="noConversion"/>
  </si>
  <si>
    <r>
      <t>Temp.,</t>
    </r>
    <r>
      <rPr>
        <vertAlign val="superscript"/>
        <sz val="12"/>
        <color theme="1"/>
        <rFont val="Calibri"/>
        <family val="1"/>
        <charset val="136"/>
        <scheme val="minor"/>
      </rPr>
      <t>o</t>
    </r>
    <r>
      <rPr>
        <sz val="12"/>
        <color theme="1"/>
        <rFont val="Arial"/>
        <family val="2"/>
      </rPr>
      <t>C</t>
    </r>
    <phoneticPr fontId="28" type="noConversion"/>
  </si>
  <si>
    <t>Wind,m/s</t>
    <phoneticPr fontId="28" type="noConversion"/>
  </si>
  <si>
    <r>
      <t>PAR,</t>
    </r>
    <r>
      <rPr>
        <sz val="9"/>
        <color theme="1"/>
        <rFont val="Calibri"/>
        <family val="1"/>
        <charset val="136"/>
        <scheme val="minor"/>
      </rPr>
      <t>MJ/m2/h</t>
    </r>
    <phoneticPr fontId="28" type="noConversion"/>
  </si>
  <si>
    <r>
      <t>CO2,</t>
    </r>
    <r>
      <rPr>
        <sz val="9"/>
        <color theme="1"/>
        <rFont val="Calibri"/>
        <family val="1"/>
        <charset val="136"/>
        <scheme val="minor"/>
      </rPr>
      <t>ppm</t>
    </r>
    <phoneticPr fontId="28" type="noConversion"/>
  </si>
  <si>
    <r>
      <t>PAR,</t>
    </r>
    <r>
      <rPr>
        <sz val="9"/>
        <color theme="1"/>
        <rFont val="Calibri"/>
        <family val="1"/>
        <charset val="136"/>
        <scheme val="minor"/>
      </rPr>
      <t>W/m2</t>
    </r>
    <phoneticPr fontId="28" type="noConversion"/>
  </si>
  <si>
    <r>
      <t>CO2,</t>
    </r>
    <r>
      <rPr>
        <sz val="9"/>
        <color theme="1"/>
        <rFont val="Calibri"/>
        <family val="1"/>
        <charset val="136"/>
        <scheme val="minor"/>
      </rPr>
      <t>mg/m3</t>
    </r>
    <phoneticPr fontId="28" type="noConversion"/>
  </si>
  <si>
    <r>
      <t>Vps,</t>
    </r>
    <r>
      <rPr>
        <sz val="9"/>
        <color theme="1"/>
        <rFont val="Calibri"/>
        <family val="1"/>
        <charset val="136"/>
        <scheme val="minor"/>
      </rPr>
      <t>g/m3</t>
    </r>
    <phoneticPr fontId="28" type="noConversion"/>
  </si>
  <si>
    <r>
      <t xml:space="preserve">Vds, </t>
    </r>
    <r>
      <rPr>
        <sz val="9"/>
        <color theme="1"/>
        <rFont val="Calibri"/>
        <family val="1"/>
        <charset val="136"/>
        <scheme val="minor"/>
      </rPr>
      <t>g/m3</t>
    </r>
    <phoneticPr fontId="28" type="noConversion"/>
  </si>
  <si>
    <t>Vd,g/m3</t>
    <phoneticPr fontId="28" type="noConversion"/>
  </si>
  <si>
    <t>Rlv, s/m</t>
    <phoneticPr fontId="28" type="noConversion"/>
  </si>
  <si>
    <r>
      <t>Rav,</t>
    </r>
    <r>
      <rPr>
        <sz val="9"/>
        <color theme="1"/>
        <rFont val="Calibri"/>
        <family val="1"/>
        <charset val="136"/>
        <scheme val="minor"/>
      </rPr>
      <t>s/m</t>
    </r>
    <phoneticPr fontId="28" type="noConversion"/>
  </si>
  <si>
    <r>
      <t>Rlv.inc,</t>
    </r>
    <r>
      <rPr>
        <sz val="9"/>
        <color theme="1"/>
        <rFont val="Calibri"/>
        <family val="1"/>
        <charset val="136"/>
        <scheme val="minor"/>
      </rPr>
      <t>s/m</t>
    </r>
    <phoneticPr fontId="28" type="noConversion"/>
  </si>
  <si>
    <r>
      <t>Tr,</t>
    </r>
    <r>
      <rPr>
        <sz val="9"/>
        <color theme="1"/>
        <rFont val="Calibri"/>
        <family val="1"/>
        <charset val="136"/>
        <scheme val="minor"/>
      </rPr>
      <t>mg/(m3.s)</t>
    </r>
    <phoneticPr fontId="28" type="noConversion"/>
  </si>
  <si>
    <t>Gc</t>
    <phoneticPr fontId="28" type="noConversion"/>
  </si>
  <si>
    <t>GTl</t>
    <phoneticPr fontId="28" type="noConversion"/>
  </si>
  <si>
    <r>
      <t>Rd,</t>
    </r>
    <r>
      <rPr>
        <sz val="9"/>
        <color theme="1"/>
        <rFont val="Calibri"/>
        <family val="1"/>
        <charset val="136"/>
        <scheme val="minor"/>
      </rPr>
      <t>mg/(m3.s)</t>
    </r>
    <phoneticPr fontId="28" type="noConversion"/>
  </si>
  <si>
    <t>Rc</t>
    <phoneticPr fontId="28" type="noConversion"/>
  </si>
  <si>
    <t>Pm</t>
    <phoneticPr fontId="28" type="noConversion"/>
  </si>
  <si>
    <t>-B=Rho.ca+Kc+Rc*Pm</t>
    <phoneticPr fontId="28" type="noConversion"/>
  </si>
  <si>
    <t>4*Rc*Rho.ca*Pm</t>
    <phoneticPr fontId="28" type="noConversion"/>
  </si>
  <si>
    <t>B^2-4AC</t>
    <phoneticPr fontId="28" type="noConversion"/>
  </si>
  <si>
    <t>Photosynthesis</t>
    <phoneticPr fontId="28" type="noConversion"/>
  </si>
  <si>
    <t>PhotoRespiration</t>
    <phoneticPr fontId="28" type="noConversion"/>
  </si>
  <si>
    <t>Simulation of a Plant Factory with Artificial Lighting (PFAL)</t>
    <phoneticPr fontId="28" type="noConversion"/>
  </si>
  <si>
    <t>Plant</t>
    <phoneticPr fontId="28" type="noConversion"/>
  </si>
  <si>
    <t>Pm=</t>
    <phoneticPr fontId="28" type="noConversion"/>
  </si>
  <si>
    <t>CO2 balance</t>
    <phoneticPr fontId="28" type="noConversion"/>
  </si>
  <si>
    <t>plant type (light)</t>
    <phoneticPr fontId="28" type="noConversion"/>
  </si>
  <si>
    <t>Rc=</t>
    <phoneticPr fontId="28" type="noConversion"/>
  </si>
  <si>
    <r>
      <t>CO2 supply to room (C</t>
    </r>
    <r>
      <rPr>
        <vertAlign val="subscript"/>
        <sz val="12"/>
        <color theme="1"/>
        <rFont val="Calibri"/>
        <family val="1"/>
        <charset val="136"/>
        <scheme val="minor"/>
      </rPr>
      <t>S</t>
    </r>
    <r>
      <rPr>
        <sz val="12"/>
        <color theme="1"/>
        <rFont val="Arial"/>
        <family val="2"/>
      </rPr>
      <t>)</t>
    </r>
    <phoneticPr fontId="28" type="noConversion"/>
  </si>
  <si>
    <t>mg/(s.room)</t>
    <phoneticPr fontId="28" type="noConversion"/>
  </si>
  <si>
    <t>plant type (CO2)</t>
    <phoneticPr fontId="28" type="noConversion"/>
  </si>
  <si>
    <r>
      <t>Net photos. rate in room (C</t>
    </r>
    <r>
      <rPr>
        <vertAlign val="subscript"/>
        <sz val="12"/>
        <color theme="1"/>
        <rFont val="Calibri"/>
        <family val="1"/>
        <charset val="136"/>
        <scheme val="minor"/>
      </rPr>
      <t>N</t>
    </r>
    <r>
      <rPr>
        <sz val="12"/>
        <color theme="1"/>
        <rFont val="Arial"/>
        <family val="2"/>
      </rPr>
      <t>)</t>
    </r>
    <phoneticPr fontId="28" type="noConversion"/>
  </si>
  <si>
    <r>
      <t>CO2 loss by ventilation (C</t>
    </r>
    <r>
      <rPr>
        <vertAlign val="subscript"/>
        <sz val="12"/>
        <color theme="1"/>
        <rFont val="Calibri"/>
        <family val="1"/>
        <charset val="136"/>
        <scheme val="minor"/>
      </rPr>
      <t>V</t>
    </r>
    <r>
      <rPr>
        <sz val="12"/>
        <color theme="1"/>
        <rFont val="Arial"/>
        <family val="2"/>
      </rPr>
      <t>)</t>
    </r>
    <phoneticPr fontId="28" type="noConversion"/>
  </si>
  <si>
    <r>
      <t>C</t>
    </r>
    <r>
      <rPr>
        <vertAlign val="subscript"/>
        <sz val="12"/>
        <color theme="1"/>
        <rFont val="Calibri"/>
        <family val="1"/>
        <charset val="136"/>
        <scheme val="minor"/>
      </rPr>
      <t>S</t>
    </r>
    <r>
      <rPr>
        <sz val="12"/>
        <color theme="1"/>
        <rFont val="Arial"/>
        <family val="2"/>
      </rPr>
      <t xml:space="preserve"> = C</t>
    </r>
    <r>
      <rPr>
        <vertAlign val="subscript"/>
        <sz val="12"/>
        <color theme="1"/>
        <rFont val="Calibri"/>
        <family val="1"/>
        <charset val="136"/>
        <scheme val="minor"/>
      </rPr>
      <t xml:space="preserve">N </t>
    </r>
    <r>
      <rPr>
        <sz val="12"/>
        <color theme="1"/>
        <rFont val="Arial"/>
        <family val="2"/>
      </rPr>
      <t>+ C</t>
    </r>
    <r>
      <rPr>
        <vertAlign val="subscript"/>
        <sz val="12"/>
        <color theme="1"/>
        <rFont val="Calibri"/>
        <family val="1"/>
        <charset val="136"/>
        <scheme val="minor"/>
      </rPr>
      <t>V</t>
    </r>
    <phoneticPr fontId="28" type="noConversion"/>
  </si>
  <si>
    <t>CO2 in chloroplast</t>
    <phoneticPr fontId="28" type="noConversion"/>
  </si>
  <si>
    <t>Tm</t>
    <phoneticPr fontId="28" type="noConversion"/>
  </si>
  <si>
    <t>GTI</t>
    <phoneticPr fontId="28" type="noConversion"/>
  </si>
  <si>
    <t>mg/(m2.s)</t>
    <phoneticPr fontId="28" type="noConversion"/>
  </si>
  <si>
    <t>Water balance</t>
    <phoneticPr fontId="28" type="noConversion"/>
  </si>
  <si>
    <t>Photorespiration</t>
    <phoneticPr fontId="28" type="noConversion"/>
  </si>
  <si>
    <r>
      <t>Transpiration rate of room (T</t>
    </r>
    <r>
      <rPr>
        <vertAlign val="subscript"/>
        <sz val="12"/>
        <color theme="1"/>
        <rFont val="Calibri"/>
        <family val="1"/>
        <charset val="136"/>
        <scheme val="minor"/>
      </rPr>
      <t>R</t>
    </r>
    <r>
      <rPr>
        <sz val="12"/>
        <color theme="1"/>
        <rFont val="Arial"/>
        <family val="2"/>
      </rPr>
      <t>)</t>
    </r>
    <phoneticPr fontId="28" type="noConversion"/>
  </si>
  <si>
    <t>Rd</t>
    <phoneticPr fontId="28" type="noConversion"/>
  </si>
  <si>
    <t>mg/(m2s)</t>
    <phoneticPr fontId="28" type="noConversion"/>
  </si>
  <si>
    <t>Net Photos.</t>
    <phoneticPr fontId="28" type="noConversion"/>
  </si>
  <si>
    <t>mg/(m2.s)</t>
  </si>
  <si>
    <t>Humidification (H)</t>
    <phoneticPr fontId="28" type="noConversion"/>
  </si>
  <si>
    <t>Environment</t>
    <phoneticPr fontId="28" type="noConversion"/>
  </si>
  <si>
    <t>density,kg/m3</t>
    <phoneticPr fontId="28" type="noConversion"/>
  </si>
  <si>
    <t>enthalpy,kJ/kg</t>
    <phoneticPr fontId="28" type="noConversion"/>
  </si>
  <si>
    <r>
      <t>Water loss by ventilation (V</t>
    </r>
    <r>
      <rPr>
        <vertAlign val="subscript"/>
        <sz val="12"/>
        <color theme="1"/>
        <rFont val="Calibri"/>
        <family val="1"/>
        <charset val="136"/>
        <scheme val="minor"/>
      </rPr>
      <t>W</t>
    </r>
    <r>
      <rPr>
        <sz val="12"/>
        <color theme="1"/>
        <rFont val="Arial"/>
        <family val="2"/>
      </rPr>
      <t>)</t>
    </r>
    <phoneticPr fontId="28" type="noConversion"/>
  </si>
  <si>
    <t>Temp. in (oC)</t>
    <phoneticPr fontId="28" type="noConversion"/>
  </si>
  <si>
    <t>RH in (%)</t>
    <phoneticPr fontId="28" type="noConversion"/>
  </si>
  <si>
    <t>Vd in</t>
    <phoneticPr fontId="28" type="noConversion"/>
  </si>
  <si>
    <t>Dehumidification (D)</t>
    <phoneticPr fontId="28" type="noConversion"/>
  </si>
  <si>
    <r>
      <t>Temp. out (</t>
    </r>
    <r>
      <rPr>
        <vertAlign val="superscript"/>
        <sz val="12"/>
        <color theme="1"/>
        <rFont val="Calibri"/>
        <family val="1"/>
        <charset val="136"/>
        <scheme val="minor"/>
      </rPr>
      <t>o</t>
    </r>
    <r>
      <rPr>
        <sz val="12"/>
        <color theme="1"/>
        <rFont val="Arial"/>
        <family val="2"/>
      </rPr>
      <t>C)</t>
    </r>
    <phoneticPr fontId="28" type="noConversion"/>
  </si>
  <si>
    <t>RH out (%)</t>
    <phoneticPr fontId="28" type="noConversion"/>
  </si>
  <si>
    <t>Vd out</t>
    <phoneticPr fontId="28" type="noConversion"/>
  </si>
  <si>
    <r>
      <t>T</t>
    </r>
    <r>
      <rPr>
        <vertAlign val="subscript"/>
        <sz val="12"/>
        <color theme="1"/>
        <rFont val="Calibri"/>
        <family val="1"/>
        <charset val="136"/>
        <scheme val="minor"/>
      </rPr>
      <t>R</t>
    </r>
    <r>
      <rPr>
        <sz val="12"/>
        <color theme="1"/>
        <rFont val="Arial"/>
        <family val="2"/>
      </rPr>
      <t>+H = D + V</t>
    </r>
    <r>
      <rPr>
        <vertAlign val="subscript"/>
        <sz val="12"/>
        <color theme="1"/>
        <rFont val="Calibri"/>
        <family val="1"/>
        <charset val="136"/>
        <scheme val="minor"/>
      </rPr>
      <t>W</t>
    </r>
    <phoneticPr fontId="28" type="noConversion"/>
  </si>
  <si>
    <t>CO2 in (ppm)</t>
    <phoneticPr fontId="28" type="noConversion"/>
  </si>
  <si>
    <t>=</t>
    <phoneticPr fontId="28" type="noConversion"/>
  </si>
  <si>
    <t>s/m</t>
    <phoneticPr fontId="28" type="noConversion"/>
  </si>
  <si>
    <t>CO2 out (ppm)</t>
    <phoneticPr fontId="28" type="noConversion"/>
  </si>
  <si>
    <t>Energy balance</t>
    <phoneticPr fontId="28" type="noConversion"/>
  </si>
  <si>
    <t>assuming k (conductivity of walls) = 0.1</t>
    <phoneticPr fontId="28" type="noConversion"/>
  </si>
  <si>
    <t>Wind (m/s)</t>
    <phoneticPr fontId="28" type="noConversion"/>
  </si>
  <si>
    <t>m/s</t>
    <phoneticPr fontId="28" type="noConversion"/>
  </si>
  <si>
    <t>Inc. of Rlv</t>
    <phoneticPr fontId="28" type="noConversion"/>
  </si>
  <si>
    <r>
      <t>Total W of lamps (W</t>
    </r>
    <r>
      <rPr>
        <vertAlign val="subscript"/>
        <sz val="12"/>
        <color theme="1"/>
        <rFont val="Calibri"/>
        <family val="1"/>
        <charset val="136"/>
        <scheme val="minor"/>
      </rPr>
      <t>L</t>
    </r>
    <r>
      <rPr>
        <sz val="12"/>
        <color theme="1"/>
        <rFont val="Arial"/>
        <family val="2"/>
      </rPr>
      <t>)</t>
    </r>
    <phoneticPr fontId="28" type="noConversion"/>
  </si>
  <si>
    <t>W/room</t>
    <phoneticPr fontId="28" type="noConversion"/>
  </si>
  <si>
    <t>TR</t>
    <phoneticPr fontId="28" type="noConversion"/>
  </si>
  <si>
    <r>
      <t>Total W of other equipment (W</t>
    </r>
    <r>
      <rPr>
        <vertAlign val="subscript"/>
        <sz val="12"/>
        <color theme="1"/>
        <rFont val="Calibri"/>
        <family val="1"/>
        <charset val="136"/>
        <scheme val="minor"/>
      </rPr>
      <t>e</t>
    </r>
    <r>
      <rPr>
        <sz val="12"/>
        <color theme="1"/>
        <rFont val="Arial"/>
        <family val="2"/>
      </rPr>
      <t>)</t>
    </r>
    <phoneticPr fontId="28" type="noConversion"/>
  </si>
  <si>
    <t>Culture room</t>
    <phoneticPr fontId="28" type="noConversion"/>
  </si>
  <si>
    <t>Heat loss by ventilation (Qv)</t>
    <phoneticPr fontId="28" type="noConversion"/>
  </si>
  <si>
    <t>Room length</t>
    <phoneticPr fontId="28" type="noConversion"/>
  </si>
  <si>
    <t>m</t>
    <phoneticPr fontId="28" type="noConversion"/>
  </si>
  <si>
    <t>Room volume</t>
    <phoneticPr fontId="28" type="noConversion"/>
  </si>
  <si>
    <t>m3</t>
    <phoneticPr fontId="28" type="noConversion"/>
  </si>
  <si>
    <t>Heat loss by conduction (Qc)</t>
    <phoneticPr fontId="28" type="noConversion"/>
  </si>
  <si>
    <t>Room width</t>
    <phoneticPr fontId="28" type="noConversion"/>
  </si>
  <si>
    <t>Culture area</t>
    <phoneticPr fontId="28" type="noConversion"/>
  </si>
  <si>
    <t>m2</t>
    <phoneticPr fontId="28" type="noConversion"/>
  </si>
  <si>
    <t>Leaf area per plant</t>
    <phoneticPr fontId="28" type="noConversion"/>
  </si>
  <si>
    <t>m2/plt</t>
    <phoneticPr fontId="28" type="noConversion"/>
  </si>
  <si>
    <t>Heat carry away by AC (Qa)</t>
    <phoneticPr fontId="28" type="noConversion"/>
  </si>
  <si>
    <t>Room height</t>
    <phoneticPr fontId="28" type="noConversion"/>
  </si>
  <si>
    <t>ACH</t>
    <phoneticPr fontId="28" type="noConversion"/>
  </si>
  <si>
    <t>1/h</t>
    <phoneticPr fontId="28" type="noConversion"/>
  </si>
  <si>
    <t>Number of plants</t>
    <phoneticPr fontId="28" type="noConversion"/>
  </si>
  <si>
    <t>plt/room</t>
    <phoneticPr fontId="28" type="noConversion"/>
  </si>
  <si>
    <r>
      <t>W</t>
    </r>
    <r>
      <rPr>
        <vertAlign val="subscript"/>
        <sz val="12"/>
        <color theme="1"/>
        <rFont val="Calibri"/>
        <family val="1"/>
        <charset val="136"/>
        <scheme val="minor"/>
      </rPr>
      <t>L</t>
    </r>
    <r>
      <rPr>
        <sz val="12"/>
        <color theme="1"/>
        <rFont val="Arial"/>
        <family val="2"/>
      </rPr>
      <t xml:space="preserve"> + W</t>
    </r>
    <r>
      <rPr>
        <vertAlign val="subscript"/>
        <sz val="12"/>
        <color theme="1"/>
        <rFont val="Calibri"/>
        <family val="1"/>
        <charset val="136"/>
        <scheme val="minor"/>
      </rPr>
      <t>e</t>
    </r>
    <r>
      <rPr>
        <sz val="12"/>
        <color theme="1"/>
        <rFont val="Arial"/>
        <family val="2"/>
      </rPr>
      <t xml:space="preserve"> = Qv + Qc + Qa</t>
    </r>
    <phoneticPr fontId="28" type="noConversion"/>
  </si>
  <si>
    <t>Lighting</t>
    <phoneticPr fontId="28" type="noConversion"/>
  </si>
  <si>
    <t>lamp type</t>
    <phoneticPr fontId="28" type="noConversion"/>
  </si>
  <si>
    <t>INF</t>
    <phoneticPr fontId="28" type="noConversion"/>
  </si>
  <si>
    <t>Number of lamps</t>
    <phoneticPr fontId="28" type="noConversion"/>
  </si>
  <si>
    <t>PPFD</t>
    <phoneticPr fontId="28" type="noConversion"/>
  </si>
  <si>
    <r>
      <rPr>
        <sz val="12"/>
        <color theme="1"/>
        <rFont val="Calibri"/>
        <family val="1"/>
        <charset val="161"/>
      </rPr>
      <t>μ</t>
    </r>
    <r>
      <rPr>
        <sz val="12"/>
        <color theme="1"/>
        <rFont val="Arial"/>
        <family val="2"/>
      </rPr>
      <t>mol/m</t>
    </r>
    <r>
      <rPr>
        <vertAlign val="superscript"/>
        <sz val="12"/>
        <color theme="1"/>
        <rFont val="Calibri"/>
        <family val="1"/>
        <charset val="136"/>
        <scheme val="minor"/>
      </rPr>
      <t>2</t>
    </r>
    <r>
      <rPr>
        <sz val="12"/>
        <color theme="1"/>
        <rFont val="Arial"/>
        <family val="2"/>
      </rPr>
      <t>/s</t>
    </r>
    <phoneticPr fontId="28" type="noConversion"/>
  </si>
  <si>
    <t>Conversion ratio</t>
    <phoneticPr fontId="28" type="noConversion"/>
  </si>
  <si>
    <t>lux/m2 --&gt; W/m2</t>
    <phoneticPr fontId="28" type="noConversion"/>
  </si>
  <si>
    <t>--&gt; umol/m2/s</t>
    <phoneticPr fontId="28" type="noConversion"/>
  </si>
  <si>
    <t>W per lamp</t>
    <phoneticPr fontId="28" type="noConversion"/>
  </si>
  <si>
    <t>U value</t>
    <phoneticPr fontId="28" type="noConversion"/>
  </si>
  <si>
    <t>W/m2</t>
    <phoneticPr fontId="28" type="noConversion"/>
  </si>
  <si>
    <t>lux divided by</t>
    <phoneticPr fontId="28" type="noConversion"/>
  </si>
  <si>
    <t>F value</t>
    <phoneticPr fontId="28" type="noConversion"/>
  </si>
  <si>
    <t>lm/lamp</t>
    <phoneticPr fontId="28" type="noConversion"/>
  </si>
  <si>
    <t>M value</t>
    <phoneticPr fontId="28" type="noConversion"/>
  </si>
  <si>
    <t>Total W of lamps</t>
    <phoneticPr fontId="28" type="noConversion"/>
  </si>
  <si>
    <t>W of other equip.</t>
    <phoneticPr fontId="28" type="noConversion"/>
  </si>
  <si>
    <t>FL</t>
    <phoneticPr fontId="28" type="noConversion"/>
  </si>
  <si>
    <t xml:space="preserve"> lux =</t>
  </si>
  <si>
    <t>PPFD</t>
  </si>
  <si>
    <t>Fluorescent lamp 5000K</t>
  </si>
  <si>
    <t>Natural daylight</t>
  </si>
  <si>
    <t>Halogen lamp 3000K</t>
  </si>
  <si>
    <t>High CRI LED 6500K</t>
  </si>
  <si>
    <t>High CRI LED 4000K</t>
  </si>
  <si>
    <t>HPS 2000K</t>
  </si>
  <si>
    <t>Red LED 650 nm</t>
  </si>
  <si>
    <t>Blue LED 450 nm</t>
  </si>
  <si>
    <t>Red+Blue LED</t>
  </si>
  <si>
    <t>Red+Blue+White LED</t>
  </si>
  <si>
    <t>450+650nm+3500K</t>
  </si>
  <si>
    <t>Plant Type</t>
    <phoneticPr fontId="27" type="noConversion"/>
  </si>
  <si>
    <t>std.</t>
    <phoneticPr fontId="27" type="noConversion"/>
  </si>
  <si>
    <r>
      <t>Temp. (</t>
    </r>
    <r>
      <rPr>
        <sz val="12"/>
        <color theme="1"/>
        <rFont val="標楷體"/>
        <family val="4"/>
        <charset val="136"/>
      </rPr>
      <t>℃</t>
    </r>
    <r>
      <rPr>
        <sz val="12"/>
        <color theme="1"/>
        <rFont val="Times New Roman"/>
        <family val="1"/>
      </rPr>
      <t>)</t>
    </r>
    <phoneticPr fontId="27" type="noConversion"/>
  </si>
  <si>
    <r>
      <t>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conc. (ppm)</t>
    </r>
  </si>
  <si>
    <r>
      <t>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conc. (mg/m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) </t>
    </r>
  </si>
  <si>
    <t>Kprmax</t>
    <phoneticPr fontId="27" type="noConversion"/>
  </si>
  <si>
    <t>C3</t>
  </si>
  <si>
    <t>Kpr</t>
    <phoneticPr fontId="27" type="noConversion"/>
  </si>
  <si>
    <r>
      <t>Rho</t>
    </r>
    <r>
      <rPr>
        <vertAlign val="subscript"/>
        <sz val="12"/>
        <color theme="1"/>
        <rFont val="Times New Roman"/>
        <family val="1"/>
      </rPr>
      <t>cstop</t>
    </r>
    <phoneticPr fontId="27" type="noConversion"/>
  </si>
  <si>
    <r>
      <t>When T = 0</t>
    </r>
    <r>
      <rPr>
        <sz val="12"/>
        <color theme="1"/>
        <rFont val="Segoe UI Symbol"/>
        <family val="4"/>
      </rPr>
      <t>℃</t>
    </r>
    <phoneticPr fontId="27" type="noConversion"/>
  </si>
  <si>
    <t>Kpr (C3)</t>
    <phoneticPr fontId="27" type="noConversion"/>
  </si>
  <si>
    <t>Kpr (C4)</t>
    <phoneticPr fontId="27" type="noConversion"/>
  </si>
  <si>
    <r>
      <t>Rd (mg/m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s)</t>
    </r>
    <phoneticPr fontId="27" type="noConversion"/>
  </si>
  <si>
    <r>
      <t>Rd20 (mg/m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s)</t>
    </r>
    <phoneticPr fontId="27" type="noConversion"/>
  </si>
  <si>
    <t>(0~40)</t>
    <phoneticPr fontId="27" type="noConversion"/>
  </si>
  <si>
    <r>
      <t>Q</t>
    </r>
    <r>
      <rPr>
        <vertAlign val="subscript"/>
        <sz val="12"/>
        <color theme="1"/>
        <rFont val="Times New Roman"/>
        <family val="1"/>
      </rPr>
      <t>10</t>
    </r>
    <phoneticPr fontId="27" type="noConversion"/>
  </si>
  <si>
    <r>
      <t>When Rd20 = 0.07, Q</t>
    </r>
    <r>
      <rPr>
        <vertAlign val="subscript"/>
        <sz val="12"/>
        <color theme="1"/>
        <rFont val="Times New Roman"/>
        <family val="1"/>
      </rPr>
      <t>10</t>
    </r>
    <r>
      <rPr>
        <sz val="12"/>
        <color theme="1"/>
        <rFont val="Times New Roman"/>
        <family val="1"/>
      </rPr>
      <t xml:space="preserve"> = 2</t>
    </r>
    <phoneticPr fontId="27" type="noConversion"/>
  </si>
  <si>
    <t>Rho.ca</t>
    <phoneticPr fontId="28" type="noConversion"/>
  </si>
  <si>
    <t>U</t>
    <phoneticPr fontId="27" type="noConversion"/>
  </si>
  <si>
    <t>M</t>
    <phoneticPr fontId="27" type="noConversion"/>
  </si>
  <si>
    <r>
      <t>W</t>
    </r>
    <r>
      <rPr>
        <vertAlign val="subscript"/>
        <sz val="12"/>
        <color theme="1"/>
        <rFont val="Times New Roman"/>
        <family val="1"/>
      </rPr>
      <t>L</t>
    </r>
    <r>
      <rPr>
        <sz val="12"/>
        <color theme="1"/>
        <rFont val="Times New Roman"/>
        <family val="1"/>
      </rPr>
      <t xml:space="preserve"> (W/room)</t>
    </r>
    <phoneticPr fontId="27" type="noConversion"/>
  </si>
  <si>
    <r>
      <t>PAR (W/m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)</t>
    </r>
    <phoneticPr fontId="27" type="noConversion"/>
  </si>
  <si>
    <r>
      <t>PPF (</t>
    </r>
    <r>
      <rPr>
        <sz val="12"/>
        <color theme="1"/>
        <rFont val="Times New Roman"/>
        <family val="4"/>
        <charset val="161"/>
      </rPr>
      <t>μ</t>
    </r>
    <r>
      <rPr>
        <sz val="12"/>
        <color theme="1"/>
        <rFont val="Times New Roman"/>
        <family val="1"/>
      </rPr>
      <t>mol/m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s)</t>
    </r>
    <phoneticPr fontId="27" type="noConversion"/>
  </si>
  <si>
    <t>F (lm/lamp)</t>
    <phoneticPr fontId="27" type="noConversion"/>
  </si>
  <si>
    <t>n (Lamps/room)</t>
    <phoneticPr fontId="27" type="noConversion"/>
  </si>
  <si>
    <t>W (per lamp)</t>
    <phoneticPr fontId="27" type="noConversion"/>
  </si>
  <si>
    <r>
      <t>RA (m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)</t>
    </r>
    <phoneticPr fontId="27" type="noConversion"/>
  </si>
  <si>
    <r>
      <t>K</t>
    </r>
    <r>
      <rPr>
        <vertAlign val="subscript"/>
        <sz val="12"/>
        <color theme="1"/>
        <rFont val="Times New Roman"/>
        <family val="1"/>
      </rPr>
      <t>L</t>
    </r>
    <phoneticPr fontId="27" type="noConversion"/>
  </si>
  <si>
    <t>CS (mg/(s room))</t>
    <phoneticPr fontId="27" type="noConversion"/>
  </si>
  <si>
    <t>CV (mg/(s room))</t>
    <phoneticPr fontId="27" type="noConversion"/>
  </si>
  <si>
    <t>CN (mg/(s room))</t>
    <phoneticPr fontId="27" type="noConversion"/>
  </si>
  <si>
    <t>ρca in (ppm)</t>
    <phoneticPr fontId="27" type="noConversion"/>
  </si>
  <si>
    <t>ρca out (ppm)</t>
    <phoneticPr fontId="27" type="noConversion"/>
  </si>
  <si>
    <r>
      <t>Leaf Area, LA (m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/plant)</t>
    </r>
    <phoneticPr fontId="27" type="noConversion"/>
  </si>
  <si>
    <t>Num. of plants (plant/room)</t>
    <phoneticPr fontId="27" type="noConversion"/>
  </si>
  <si>
    <t>Room width (m)</t>
    <phoneticPr fontId="27" type="noConversion"/>
  </si>
  <si>
    <t>Room length (m)</t>
    <phoneticPr fontId="27" type="noConversion"/>
  </si>
  <si>
    <t>Room height (m)</t>
    <phoneticPr fontId="27" type="noConversion"/>
  </si>
  <si>
    <r>
      <t>PN (mg/m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s)</t>
    </r>
    <phoneticPr fontId="27" type="noConversion"/>
  </si>
  <si>
    <r>
      <t>Vr (m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>)</t>
    </r>
    <phoneticPr fontId="27" type="noConversion"/>
  </si>
  <si>
    <t>A (1/h)</t>
    <phoneticPr fontId="27" type="noConversion"/>
  </si>
  <si>
    <r>
      <t>ρca out (mg/m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>)</t>
    </r>
    <phoneticPr fontId="27" type="noConversion"/>
  </si>
  <si>
    <t>ρca in (mg/m3)</t>
    <phoneticPr fontId="27" type="noConversion"/>
  </si>
  <si>
    <r>
      <rPr>
        <sz val="12"/>
        <color theme="1"/>
        <rFont val="微軟正黑體"/>
        <family val="2"/>
        <charset val="136"/>
      </rPr>
      <t>空氣濃度換算參考資料</t>
    </r>
    <r>
      <rPr>
        <sz val="12"/>
        <color theme="1"/>
        <rFont val="Calibri"/>
        <family val="2"/>
      </rPr>
      <t xml:space="preserve">: https://cfpub.epa.gov/ncer_abstracts/index.cfm/fuseaction/display.files/fileid/14285 </t>
    </r>
    <phoneticPr fontId="27" type="noConversion"/>
  </si>
  <si>
    <r>
      <t>Temp.in (</t>
    </r>
    <r>
      <rPr>
        <sz val="12"/>
        <color rgb="FFFF0000"/>
        <rFont val="Segoe UI Symbol"/>
        <family val="4"/>
      </rPr>
      <t>℃</t>
    </r>
    <r>
      <rPr>
        <sz val="12"/>
        <color rgb="FFFF0000"/>
        <rFont val="Times New Roman"/>
        <family val="1"/>
      </rPr>
      <t>)</t>
    </r>
    <phoneticPr fontId="27" type="noConversion"/>
  </si>
  <si>
    <r>
      <t>Temp.out (</t>
    </r>
    <r>
      <rPr>
        <sz val="12"/>
        <color rgb="FFFF0000"/>
        <rFont val="Segoe UI Symbol"/>
        <family val="4"/>
      </rPr>
      <t>℃</t>
    </r>
    <r>
      <rPr>
        <sz val="12"/>
        <color rgb="FFFF0000"/>
        <rFont val="Times New Roman"/>
        <family val="1"/>
      </rPr>
      <t>)</t>
    </r>
    <phoneticPr fontId="27" type="noConversion"/>
  </si>
  <si>
    <t>additional</t>
    <phoneticPr fontId="27" type="noConversion"/>
  </si>
  <si>
    <r>
      <t>Tr (mg/m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s)</t>
    </r>
    <phoneticPr fontId="27" type="noConversion"/>
  </si>
  <si>
    <r>
      <t>Temp.in (</t>
    </r>
    <r>
      <rPr>
        <sz val="12"/>
        <rFont val="Segoe UI Symbol"/>
        <family val="4"/>
      </rPr>
      <t>℃</t>
    </r>
    <r>
      <rPr>
        <sz val="12"/>
        <rFont val="Times New Roman"/>
        <family val="1"/>
      </rPr>
      <t>)</t>
    </r>
    <phoneticPr fontId="27" type="noConversion"/>
  </si>
  <si>
    <r>
      <t>Temp.out (</t>
    </r>
    <r>
      <rPr>
        <sz val="12"/>
        <rFont val="Segoe UI Symbol"/>
        <family val="4"/>
      </rPr>
      <t>℃</t>
    </r>
    <r>
      <rPr>
        <sz val="12"/>
        <rFont val="Times New Roman"/>
        <family val="1"/>
      </rPr>
      <t>)</t>
    </r>
    <phoneticPr fontId="27" type="noConversion"/>
  </si>
  <si>
    <t>RH in (%)</t>
    <phoneticPr fontId="27" type="noConversion"/>
  </si>
  <si>
    <t>RH out (%)</t>
    <phoneticPr fontId="27" type="noConversion"/>
  </si>
  <si>
    <t>Vd in (g/m3)</t>
    <phoneticPr fontId="27" type="noConversion"/>
  </si>
  <si>
    <t>TR ( mg/(s room) )</t>
    <phoneticPr fontId="27" type="noConversion"/>
  </si>
  <si>
    <t>Vw ( mg/(s room) )</t>
    <phoneticPr fontId="27" type="noConversion"/>
  </si>
  <si>
    <t>H ( mg/(s room) )</t>
    <phoneticPr fontId="27" type="noConversion"/>
  </si>
  <si>
    <t>D ( mg/(s room) )</t>
    <phoneticPr fontId="27" type="noConversion"/>
  </si>
  <si>
    <t>No dehumification</t>
    <phoneticPr fontId="27" type="noConversion"/>
  </si>
  <si>
    <t>Total W of lamps (W/room)</t>
    <phoneticPr fontId="27" type="noConversion"/>
  </si>
  <si>
    <t>Vd out (g/m3)</t>
    <phoneticPr fontId="27" type="noConversion"/>
  </si>
  <si>
    <r>
      <t>Temp.in (</t>
    </r>
    <r>
      <rPr>
        <sz val="12"/>
        <rFont val="新細明體"/>
        <family val="1"/>
        <charset val="136"/>
      </rPr>
      <t>℃</t>
    </r>
    <r>
      <rPr>
        <sz val="12"/>
        <rFont val="Times New Roman"/>
        <family val="1"/>
      </rPr>
      <t>)</t>
    </r>
    <phoneticPr fontId="27" type="noConversion"/>
  </si>
  <si>
    <r>
      <t>Temp.out (</t>
    </r>
    <r>
      <rPr>
        <sz val="12"/>
        <rFont val="新細明體"/>
        <family val="1"/>
        <charset val="136"/>
      </rPr>
      <t>℃</t>
    </r>
    <r>
      <rPr>
        <sz val="12"/>
        <rFont val="Times New Roman"/>
        <family val="1"/>
      </rPr>
      <t>)</t>
    </r>
    <phoneticPr fontId="27" type="noConversion"/>
  </si>
  <si>
    <r>
      <t>Vds (</t>
    </r>
    <r>
      <rPr>
        <sz val="12"/>
        <color theme="1"/>
        <rFont val="新細明體"/>
        <family val="1"/>
        <charset val="136"/>
      </rPr>
      <t>蒸汽密度</t>
    </r>
    <r>
      <rPr>
        <sz val="12"/>
        <color theme="1"/>
        <rFont val="Times New Roman"/>
        <family val="1"/>
      </rPr>
      <t>, mg/m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>)</t>
    </r>
    <phoneticPr fontId="27" type="noConversion"/>
  </si>
  <si>
    <r>
      <t>ρ (</t>
    </r>
    <r>
      <rPr>
        <sz val="12"/>
        <color theme="1"/>
        <rFont val="新細明體"/>
        <family val="1"/>
        <charset val="136"/>
      </rPr>
      <t>乾空氣密度</t>
    </r>
    <r>
      <rPr>
        <sz val="12"/>
        <color theme="1"/>
        <rFont val="Times New Roman"/>
        <family val="1"/>
      </rPr>
      <t>) (Kg/m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>)</t>
    </r>
    <phoneticPr fontId="27" type="noConversion"/>
  </si>
  <si>
    <r>
      <t>ρw (</t>
    </r>
    <r>
      <rPr>
        <sz val="12"/>
        <color theme="1"/>
        <rFont val="新細明體"/>
        <family val="1"/>
        <charset val="136"/>
      </rPr>
      <t>濕空氣密度</t>
    </r>
    <r>
      <rPr>
        <sz val="12"/>
        <color theme="1"/>
        <rFont val="Times New Roman"/>
        <family val="1"/>
      </rPr>
      <t>) (Kg/m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>)</t>
    </r>
    <phoneticPr fontId="27" type="noConversion"/>
  </si>
  <si>
    <r>
      <t>H</t>
    </r>
    <r>
      <rPr>
        <vertAlign val="subscript"/>
        <sz val="12"/>
        <color theme="1"/>
        <rFont val="Times New Roman"/>
        <family val="1"/>
      </rPr>
      <t>L</t>
    </r>
    <r>
      <rPr>
        <sz val="12"/>
        <color theme="1"/>
        <rFont val="Times New Roman"/>
        <family val="1"/>
      </rPr>
      <t xml:space="preserve"> (J/Kg)</t>
    </r>
    <phoneticPr fontId="27" type="noConversion"/>
  </si>
  <si>
    <r>
      <t>Optimum leaf temp. for Pn., T</t>
    </r>
    <r>
      <rPr>
        <i/>
        <vertAlign val="subscript"/>
        <sz val="12"/>
        <color theme="1"/>
        <rFont val="Times New Roman"/>
        <family val="1"/>
      </rPr>
      <t>m</t>
    </r>
    <r>
      <rPr>
        <i/>
        <sz val="12"/>
        <color theme="1"/>
        <rFont val="Times New Roman"/>
        <family val="1"/>
      </rPr>
      <t xml:space="preserve">, </t>
    </r>
    <r>
      <rPr>
        <i/>
        <sz val="12"/>
        <color theme="1"/>
        <rFont val="Segoe UI Symbol"/>
        <family val="2"/>
      </rPr>
      <t>℃</t>
    </r>
    <phoneticPr fontId="27" type="noConversion"/>
  </si>
  <si>
    <r>
      <t>Temp. response, a,</t>
    </r>
    <r>
      <rPr>
        <i/>
        <sz val="12"/>
        <color theme="1"/>
        <rFont val="Segoe UI Symbol"/>
        <family val="2"/>
      </rPr>
      <t>℃</t>
    </r>
    <phoneticPr fontId="27" type="noConversion"/>
  </si>
  <si>
    <r>
      <t>Temp. coefficient, G</t>
    </r>
    <r>
      <rPr>
        <i/>
        <vertAlign val="subscript"/>
        <sz val="12"/>
        <color theme="1"/>
        <rFont val="Times New Roman"/>
        <family val="1"/>
      </rPr>
      <t>Tl</t>
    </r>
    <phoneticPr fontId="27" type="noConversion"/>
  </si>
  <si>
    <r>
      <t>Leaf temp. T</t>
    </r>
    <r>
      <rPr>
        <i/>
        <vertAlign val="subscript"/>
        <sz val="12"/>
        <color theme="1"/>
        <rFont val="Times New Roman"/>
        <family val="1"/>
      </rPr>
      <t>l</t>
    </r>
    <r>
      <rPr>
        <i/>
        <sz val="12"/>
        <color theme="1"/>
        <rFont val="Times New Roman"/>
        <family val="1"/>
      </rPr>
      <t xml:space="preserve"> ,</t>
    </r>
    <r>
      <rPr>
        <i/>
        <sz val="12"/>
        <color theme="1"/>
        <rFont val="Segoe UI Symbol"/>
        <family val="2"/>
      </rPr>
      <t>℃</t>
    </r>
    <phoneticPr fontId="27" type="noConversion"/>
  </si>
  <si>
    <r>
      <rPr>
        <sz val="12"/>
        <color theme="1"/>
        <rFont val="新細明體"/>
        <family val="1"/>
        <charset val="136"/>
      </rPr>
      <t>溫度</t>
    </r>
    <r>
      <rPr>
        <sz val="12"/>
        <color theme="1"/>
        <rFont val="Times New Roman"/>
        <family val="1"/>
      </rPr>
      <t xml:space="preserve"> (</t>
    </r>
    <r>
      <rPr>
        <vertAlign val="superscript"/>
        <sz val="12"/>
        <color theme="1"/>
        <rFont val="Times New Roman"/>
        <family val="1"/>
      </rPr>
      <t>o</t>
    </r>
    <r>
      <rPr>
        <sz val="12"/>
        <color theme="1"/>
        <rFont val="Times New Roman"/>
        <family val="1"/>
      </rPr>
      <t>C)</t>
    </r>
    <phoneticPr fontId="27" type="noConversion"/>
  </si>
  <si>
    <r>
      <t>VPS (</t>
    </r>
    <r>
      <rPr>
        <sz val="12"/>
        <color theme="1"/>
        <rFont val="新細明體"/>
        <family val="1"/>
        <charset val="136"/>
      </rPr>
      <t>飽和</t>
    </r>
    <r>
      <rPr>
        <sz val="12"/>
        <color theme="1"/>
        <rFont val="微軟正黑體"/>
        <family val="2"/>
        <charset val="136"/>
      </rPr>
      <t>蒸汽壓</t>
    </r>
    <r>
      <rPr>
        <sz val="12"/>
        <color theme="1"/>
        <rFont val="Calibri"/>
        <family val="2"/>
      </rPr>
      <t>, kPa)</t>
    </r>
    <phoneticPr fontId="27" type="noConversion"/>
  </si>
  <si>
    <r>
      <t>Vds (</t>
    </r>
    <r>
      <rPr>
        <sz val="12"/>
        <color theme="1"/>
        <rFont val="新細明體"/>
        <family val="1"/>
        <charset val="136"/>
      </rPr>
      <t>飽和</t>
    </r>
    <r>
      <rPr>
        <sz val="12"/>
        <color theme="1"/>
        <rFont val="微軟正黑體"/>
        <family val="2"/>
        <charset val="136"/>
      </rPr>
      <t>蒸汽密度</t>
    </r>
    <r>
      <rPr>
        <sz val="12"/>
        <color theme="1"/>
        <rFont val="Calibri"/>
        <family val="2"/>
      </rPr>
      <t>, g/m3)</t>
    </r>
    <phoneticPr fontId="27" type="noConversion"/>
  </si>
  <si>
    <t>Vd, g/m3</t>
    <phoneticPr fontId="27" type="noConversion"/>
  </si>
  <si>
    <t>Vds, g/m3</t>
    <phoneticPr fontId="27" type="noConversion"/>
  </si>
  <si>
    <t>Vps, kPa</t>
    <phoneticPr fontId="27" type="noConversion"/>
  </si>
  <si>
    <r>
      <t>Vd (</t>
    </r>
    <r>
      <rPr>
        <sz val="12"/>
        <color theme="1"/>
        <rFont val="微軟正黑體"/>
        <family val="2"/>
        <charset val="136"/>
      </rPr>
      <t>蒸汽密度</t>
    </r>
    <r>
      <rPr>
        <sz val="12"/>
        <color theme="1"/>
        <rFont val="Calibri"/>
        <family val="2"/>
      </rPr>
      <t xml:space="preserve">, </t>
    </r>
    <r>
      <rPr>
        <sz val="12"/>
        <color rgb="FFFF0000"/>
        <rFont val="Calibri"/>
        <family val="2"/>
      </rPr>
      <t>mg/m3</t>
    </r>
    <r>
      <rPr>
        <sz val="12"/>
        <color theme="1"/>
        <rFont val="Calibri"/>
        <family val="2"/>
      </rPr>
      <t>)</t>
    </r>
    <phoneticPr fontId="27" type="noConversion"/>
  </si>
  <si>
    <t>Rlv (stomatal resistance, s/m)</t>
    <phoneticPr fontId="27" type="noConversion"/>
  </si>
  <si>
    <t>Rlc</t>
    <phoneticPr fontId="27" type="noConversion"/>
  </si>
  <si>
    <t>W in (kg/kg)</t>
    <phoneticPr fontId="27" type="noConversion"/>
  </si>
  <si>
    <t>W out (kg/kg)</t>
    <phoneticPr fontId="27" type="noConversion"/>
  </si>
  <si>
    <t>h in (kj/kg)</t>
    <phoneticPr fontId="27" type="noConversion"/>
  </si>
  <si>
    <t>h out (kj/kg)</t>
    <phoneticPr fontId="27" type="noConversion"/>
  </si>
  <si>
    <t>VP in (kpa)</t>
    <phoneticPr fontId="27" type="noConversion"/>
  </si>
  <si>
    <t>VP out (kpa)</t>
    <phoneticPr fontId="27" type="noConversion"/>
  </si>
  <si>
    <t>VPs in (kpa)</t>
    <phoneticPr fontId="27" type="noConversion"/>
  </si>
  <si>
    <t>VPs out (kpa)</t>
    <phoneticPr fontId="27" type="noConversion"/>
  </si>
  <si>
    <t>Patm (kpa)</t>
    <phoneticPr fontId="27" type="noConversion"/>
  </si>
  <si>
    <r>
      <t>Kw (J/s m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C)</t>
    </r>
    <phoneticPr fontId="27" type="noConversion"/>
  </si>
  <si>
    <r>
      <t>Q</t>
    </r>
    <r>
      <rPr>
        <vertAlign val="subscript"/>
        <sz val="12"/>
        <color theme="1"/>
        <rFont val="Times New Roman"/>
        <family val="1"/>
      </rPr>
      <t>A</t>
    </r>
    <r>
      <rPr>
        <sz val="12"/>
        <color theme="1"/>
        <rFont val="Times New Roman"/>
        <family val="1"/>
      </rPr>
      <t xml:space="preserve"> (J/s room)</t>
    </r>
    <phoneticPr fontId="27" type="noConversion"/>
  </si>
  <si>
    <r>
      <t>Q</t>
    </r>
    <r>
      <rPr>
        <vertAlign val="subscript"/>
        <sz val="12"/>
        <color theme="1"/>
        <rFont val="Times New Roman"/>
        <family val="1"/>
      </rPr>
      <t>C</t>
    </r>
    <r>
      <rPr>
        <sz val="12"/>
        <color theme="1"/>
        <rFont val="Times New Roman"/>
        <family val="1"/>
      </rPr>
      <t>(J/s room)</t>
    </r>
    <phoneticPr fontId="27" type="noConversion"/>
  </si>
  <si>
    <r>
      <t>Q</t>
    </r>
    <r>
      <rPr>
        <vertAlign val="subscript"/>
        <sz val="12"/>
        <color theme="1"/>
        <rFont val="Times New Roman"/>
        <family val="1"/>
      </rPr>
      <t>V</t>
    </r>
    <r>
      <rPr>
        <sz val="12"/>
        <color theme="1"/>
        <rFont val="Times New Roman"/>
        <family val="1"/>
      </rPr>
      <t xml:space="preserve"> (J/s room)</t>
    </r>
    <phoneticPr fontId="27" type="noConversion"/>
  </si>
  <si>
    <t>Wx (kJ/kg)</t>
    <phoneticPr fontId="27" type="noConversion"/>
  </si>
  <si>
    <r>
      <t xml:space="preserve">Cp, </t>
    </r>
    <r>
      <rPr>
        <sz val="12"/>
        <color theme="1"/>
        <rFont val="新細明體"/>
        <family val="1"/>
        <charset val="136"/>
      </rPr>
      <t>比熱</t>
    </r>
    <r>
      <rPr>
        <sz val="12"/>
        <color theme="1"/>
        <rFont val="Times New Roman"/>
        <family val="1"/>
      </rPr>
      <t xml:space="preserve"> (J/kg K)</t>
    </r>
    <phoneticPr fontId="27" type="noConversion"/>
  </si>
  <si>
    <t>steve-Boltz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</si>
</sst>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"/>
    <numFmt numFmtId="177" formatCode="0.000"/>
    <numFmt numFmtId="178" formatCode="0.0000"/>
    <numFmt numFmtId="179" formatCode="0.00_ "/>
    <numFmt numFmtId="180" formatCode="0.0_ "/>
    <numFmt numFmtId="181" formatCode="0.000000"/>
    <numFmt numFmtId="182" formatCode="0.0000_ "/>
  </numFmts>
  <fonts count="65">
    <font>
      <sz val="12"/>
      <color theme="1"/>
      <name val="Arial"/>
    </font>
    <font>
      <sz val="12"/>
      <color theme="1"/>
      <name val="Calibri"/>
      <family val="2"/>
    </font>
    <font>
      <sz val="12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</font>
    <font>
      <b/>
      <sz val="16"/>
      <color theme="1"/>
      <name val="Times New Roman"/>
      <family val="1"/>
    </font>
    <font>
      <sz val="12"/>
      <color theme="1"/>
      <name val="DFKai-SB"/>
      <family val="4"/>
      <charset val="136"/>
    </font>
    <font>
      <sz val="18"/>
      <color theme="1"/>
      <name val="Calibri"/>
      <family val="2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i/>
      <sz val="12"/>
      <color theme="1"/>
      <name val="Times New Roman"/>
      <family val="1"/>
    </font>
    <font>
      <sz val="12"/>
      <color theme="1"/>
      <name val="標楷體"/>
      <family val="4"/>
      <charset val="136"/>
    </font>
    <font>
      <sz val="12"/>
      <color theme="1"/>
      <name val="新細明體"/>
      <family val="1"/>
      <charset val="136"/>
    </font>
    <font>
      <vertAlign val="subscript"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i/>
      <vertAlign val="subscript"/>
      <sz val="12"/>
      <color theme="1"/>
      <name val="Times New Roman"/>
      <family val="1"/>
    </font>
    <font>
      <sz val="16"/>
      <color theme="1"/>
      <name val="標楷體"/>
      <family val="4"/>
      <charset val="136"/>
    </font>
    <font>
      <vertAlign val="subscript"/>
      <sz val="16"/>
      <color theme="1"/>
      <name val="Times New Roman"/>
      <family val="1"/>
    </font>
    <font>
      <vertAlign val="superscript"/>
      <sz val="16"/>
      <color theme="1"/>
      <name val="Times New Roman"/>
      <family val="1"/>
    </font>
    <font>
      <i/>
      <vertAlign val="subscript"/>
      <sz val="16"/>
      <color theme="1"/>
      <name val="Times New Roman"/>
      <family val="1"/>
    </font>
    <font>
      <vertAlign val="superscript"/>
      <sz val="12"/>
      <color theme="1"/>
      <name val="新細明體"/>
      <family val="1"/>
      <charset val="136"/>
    </font>
    <font>
      <sz val="12"/>
      <color theme="1"/>
      <name val="微軟正黑體"/>
      <family val="2"/>
      <charset val="136"/>
    </font>
    <font>
      <vertAlign val="subscript"/>
      <sz val="12"/>
      <color theme="1"/>
      <name val="微軟正黑體"/>
      <family val="2"/>
      <charset val="136"/>
    </font>
    <font>
      <vertAlign val="subscript"/>
      <sz val="12"/>
      <color theme="1"/>
      <name val="Calibri"/>
      <family val="2"/>
    </font>
    <font>
      <vertAlign val="superscript"/>
      <sz val="12"/>
      <color theme="1"/>
      <name val="微軟正黑體"/>
      <family val="2"/>
      <charset val="136"/>
    </font>
    <font>
      <i/>
      <sz val="12"/>
      <color theme="1"/>
      <name val="Segoe UI Symbol"/>
      <family val="2"/>
    </font>
    <font>
      <sz val="12"/>
      <color theme="1"/>
      <name val="Calibri"/>
      <family val="2"/>
      <scheme val="minor"/>
    </font>
    <font>
      <sz val="9"/>
      <name val="細明體"/>
      <family val="3"/>
      <charset val="136"/>
    </font>
    <font>
      <sz val="9"/>
      <name val="Calibri"/>
      <family val="3"/>
      <charset val="136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1"/>
      <charset val="136"/>
      <scheme val="minor"/>
    </font>
    <font>
      <sz val="12"/>
      <color theme="1"/>
      <name val="Calibri"/>
      <family val="1"/>
      <charset val="136"/>
      <scheme val="minor"/>
    </font>
    <font>
      <sz val="12"/>
      <color rgb="FFFF0000"/>
      <name val="Calibri"/>
      <family val="1"/>
      <charset val="136"/>
      <scheme val="minor"/>
    </font>
    <font>
      <u/>
      <sz val="12"/>
      <color theme="10"/>
      <name val="Calibri"/>
      <family val="2"/>
      <scheme val="minor"/>
    </font>
    <font>
      <b/>
      <sz val="12"/>
      <color rgb="FF000000"/>
      <name val="Century Gothic"/>
      <family val="2"/>
    </font>
    <font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2"/>
      <color theme="1"/>
      <name val="Calibri"/>
      <family val="1"/>
      <charset val="136"/>
      <scheme val="minor"/>
    </font>
    <font>
      <sz val="9"/>
      <color theme="1"/>
      <name val="Calibri"/>
      <family val="1"/>
      <charset val="136"/>
      <scheme val="minor"/>
    </font>
    <font>
      <sz val="12"/>
      <name val="Calibri"/>
      <family val="2"/>
      <scheme val="minor"/>
    </font>
    <font>
      <sz val="20"/>
      <color theme="1"/>
      <name val="Calibri"/>
      <family val="1"/>
      <charset val="136"/>
      <scheme val="minor"/>
    </font>
    <font>
      <sz val="16"/>
      <color rgb="FFFF0000"/>
      <name val="Calibri"/>
      <family val="2"/>
      <scheme val="minor"/>
    </font>
    <font>
      <vertAlign val="subscript"/>
      <sz val="12"/>
      <color theme="1"/>
      <name val="Calibri"/>
      <family val="1"/>
      <charset val="136"/>
      <scheme val="minor"/>
    </font>
    <font>
      <sz val="16"/>
      <color rgb="FFFF0000"/>
      <name val="Calibri"/>
      <family val="1"/>
      <charset val="136"/>
      <scheme val="minor"/>
    </font>
    <font>
      <sz val="12"/>
      <color theme="1"/>
      <name val="Calibri"/>
      <family val="1"/>
      <charset val="161"/>
      <scheme val="minor"/>
    </font>
    <font>
      <sz val="12"/>
      <color theme="1"/>
      <name val="Calibri"/>
      <family val="1"/>
      <charset val="161"/>
    </font>
    <font>
      <sz val="8"/>
      <color theme="1"/>
      <name val="Calibri"/>
      <family val="2"/>
      <scheme val="minor"/>
    </font>
    <font>
      <sz val="12"/>
      <color theme="1"/>
      <name val="Calibri"/>
      <family val="2"/>
    </font>
    <font>
      <sz val="16"/>
      <color theme="1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6"/>
      <color theme="1"/>
      <name val="Times New Roman"/>
      <family val="1"/>
    </font>
    <font>
      <sz val="12"/>
      <color theme="1"/>
      <name val="Segoe UI Symbol"/>
      <family val="4"/>
    </font>
    <font>
      <sz val="12"/>
      <color theme="1"/>
      <name val="Arial"/>
      <family val="2"/>
    </font>
    <font>
      <sz val="12"/>
      <color theme="1"/>
      <name val="Times New Roman"/>
      <family val="4"/>
      <charset val="161"/>
    </font>
    <font>
      <sz val="12"/>
      <color theme="1"/>
      <name val="Calibri"/>
      <family val="2"/>
      <charset val="136"/>
    </font>
    <font>
      <sz val="12"/>
      <color rgb="FFFF0000"/>
      <name val="Times New Roman"/>
      <family val="1"/>
    </font>
    <font>
      <sz val="12"/>
      <color rgb="FFFF0000"/>
      <name val="Segoe UI Symbol"/>
      <family val="4"/>
    </font>
    <font>
      <sz val="12"/>
      <name val="Segoe UI Symbol"/>
      <family val="4"/>
    </font>
    <font>
      <sz val="12"/>
      <name val="新細明體"/>
      <family val="1"/>
      <charset val="136"/>
    </font>
    <font>
      <i/>
      <sz val="12"/>
      <color theme="1"/>
      <name val="Times New Roman"/>
      <family val="1"/>
    </font>
    <font>
      <sz val="12"/>
      <color theme="1"/>
      <name val="Times New Roman"/>
      <family val="1"/>
      <charset val="136"/>
    </font>
    <font>
      <sz val="12"/>
      <color rgb="FFFF0000"/>
      <name val="Calibri"/>
      <family val="2"/>
    </font>
    <font>
      <sz val="12"/>
      <color theme="1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D6DCE4"/>
        <bgColor rgb="FFD6DCE4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E598"/>
        <bgColor rgb="FFFFE598"/>
      </patternFill>
    </fill>
    <fill>
      <patternFill patternType="solid">
        <fgColor rgb="FFFFC000"/>
        <bgColor rgb="FFFFC000"/>
      </patternFill>
    </fill>
    <fill>
      <patternFill patternType="solid">
        <fgColor rgb="FFA8D08D"/>
        <bgColor rgb="FFA8D08D"/>
      </patternFill>
    </fill>
    <fill>
      <patternFill patternType="solid">
        <fgColor rgb="FFF4B083"/>
        <bgColor rgb="FFF4B083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C5E0B3"/>
        <bgColor rgb="FFC5E0B3"/>
      </patternFill>
    </fill>
    <fill>
      <patternFill patternType="solid">
        <fgColor rgb="FF00B0F0"/>
        <bgColor rgb="FF00B0F0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rgb="FF9CC2E5"/>
      </patternFill>
    </fill>
    <fill>
      <patternFill patternType="solid">
        <fgColor theme="9" tint="0.79998168889431442"/>
        <bgColor rgb="FFFFC000"/>
      </patternFill>
    </fill>
    <fill>
      <patternFill patternType="solid">
        <fgColor theme="5" tint="0.59999389629810485"/>
        <bgColor rgb="FFFFC000"/>
      </patternFill>
    </fill>
    <fill>
      <patternFill patternType="solid">
        <fgColor theme="7"/>
        <bgColor rgb="FFFFC000"/>
      </patternFill>
    </fill>
    <fill>
      <patternFill patternType="solid">
        <fgColor theme="9" tint="0.59999389629810485"/>
        <bgColor rgb="FF9CC2E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</fills>
  <borders count="96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6" fillId="0" borderId="42"/>
    <xf numFmtId="0" fontId="33" fillId="0" borderId="42" applyNumberFormat="0" applyFill="0" applyBorder="0" applyAlignment="0" applyProtection="0"/>
    <xf numFmtId="9" fontId="54" fillId="0" borderId="0" applyFont="0" applyFill="0" applyBorder="0" applyAlignment="0" applyProtection="0">
      <alignment vertical="center"/>
    </xf>
  </cellStyleXfs>
  <cellXfs count="412">
    <xf numFmtId="0" fontId="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1" fillId="0" borderId="0" xfId="0" applyNumberFormat="1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3" borderId="26" xfId="0" applyFont="1" applyFill="1" applyBorder="1" applyAlignment="1">
      <alignment horizontal="center" vertical="center"/>
    </xf>
    <xf numFmtId="0" fontId="3" fillId="11" borderId="27" xfId="0" applyFont="1" applyFill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3" borderId="26" xfId="0" applyFont="1" applyFill="1" applyBorder="1" applyAlignment="1">
      <alignment horizontal="center" vertical="center"/>
    </xf>
    <xf numFmtId="0" fontId="3" fillId="14" borderId="32" xfId="0" applyFont="1" applyFill="1" applyBorder="1" applyAlignment="1">
      <alignment horizontal="center" vertical="center"/>
    </xf>
    <xf numFmtId="176" fontId="3" fillId="0" borderId="25" xfId="0" applyNumberFormat="1" applyFont="1" applyBorder="1" applyAlignment="1">
      <alignment horizontal="center" vertical="center"/>
    </xf>
    <xf numFmtId="176" fontId="5" fillId="0" borderId="28" xfId="0" applyNumberFormat="1" applyFont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0" fontId="8" fillId="13" borderId="25" xfId="0" applyFont="1" applyFill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9" fontId="8" fillId="0" borderId="25" xfId="0" applyNumberFormat="1" applyFont="1" applyBorder="1" applyAlignment="1">
      <alignment horizontal="center" vertical="center"/>
    </xf>
    <xf numFmtId="0" fontId="8" fillId="14" borderId="25" xfId="0" applyFont="1" applyFill="1" applyBorder="1" applyAlignment="1">
      <alignment horizontal="center" vertical="center"/>
    </xf>
    <xf numFmtId="176" fontId="5" fillId="9" borderId="25" xfId="0" applyNumberFormat="1" applyFont="1" applyFill="1" applyBorder="1" applyAlignment="1">
      <alignment horizontal="center" vertical="center"/>
    </xf>
    <xf numFmtId="176" fontId="8" fillId="8" borderId="25" xfId="0" applyNumberFormat="1" applyFont="1" applyFill="1" applyBorder="1" applyAlignment="1">
      <alignment horizontal="center" vertical="center"/>
    </xf>
    <xf numFmtId="2" fontId="8" fillId="8" borderId="25" xfId="0" applyNumberFormat="1" applyFont="1" applyFill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2" fontId="5" fillId="8" borderId="28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14" borderId="8" xfId="0" applyFont="1" applyFill="1" applyBorder="1" applyAlignment="1">
      <alignment horizontal="center" vertical="center"/>
    </xf>
    <xf numFmtId="176" fontId="3" fillId="0" borderId="25" xfId="0" applyNumberFormat="1" applyFont="1" applyBorder="1" applyAlignment="1">
      <alignment horizontal="center" vertical="center"/>
    </xf>
    <xf numFmtId="177" fontId="1" fillId="0" borderId="0" xfId="0" applyNumberFormat="1" applyFont="1" applyAlignment="1">
      <alignment vertical="center"/>
    </xf>
    <xf numFmtId="0" fontId="3" fillId="4" borderId="27" xfId="0" applyFont="1" applyFill="1" applyBorder="1" applyAlignment="1">
      <alignment horizontal="center" vertical="center"/>
    </xf>
    <xf numFmtId="2" fontId="5" fillId="0" borderId="28" xfId="0" applyNumberFormat="1" applyFont="1" applyBorder="1" applyAlignment="1">
      <alignment horizontal="center" vertical="center"/>
    </xf>
    <xf numFmtId="0" fontId="26" fillId="0" borderId="42" xfId="1"/>
    <xf numFmtId="178" fontId="26" fillId="15" borderId="42" xfId="1" applyNumberFormat="1" applyFill="1"/>
    <xf numFmtId="2" fontId="26" fillId="0" borderId="42" xfId="1" applyNumberFormat="1" applyFill="1"/>
    <xf numFmtId="0" fontId="26" fillId="15" borderId="42" xfId="1" applyFill="1"/>
    <xf numFmtId="0" fontId="26" fillId="0" borderId="43" xfId="1" applyBorder="1"/>
    <xf numFmtId="0" fontId="26" fillId="0" borderId="44" xfId="1" applyBorder="1"/>
    <xf numFmtId="0" fontId="29" fillId="0" borderId="42" xfId="1" applyFont="1"/>
    <xf numFmtId="0" fontId="26" fillId="0" borderId="45" xfId="1" applyBorder="1"/>
    <xf numFmtId="0" fontId="26" fillId="0" borderId="46" xfId="1" applyBorder="1"/>
    <xf numFmtId="0" fontId="26" fillId="0" borderId="46" xfId="1" applyBorder="1" applyAlignment="1">
      <alignment horizontal="center"/>
    </xf>
    <xf numFmtId="0" fontId="26" fillId="0" borderId="47" xfId="1" applyBorder="1" applyAlignment="1">
      <alignment horizontal="center"/>
    </xf>
    <xf numFmtId="0" fontId="26" fillId="16" borderId="48" xfId="1" applyFill="1" applyBorder="1" applyAlignment="1">
      <alignment horizontal="center"/>
    </xf>
    <xf numFmtId="0" fontId="26" fillId="15" borderId="49" xfId="1" applyFill="1" applyBorder="1"/>
    <xf numFmtId="0" fontId="26" fillId="16" borderId="42" xfId="1" applyFill="1"/>
    <xf numFmtId="0" fontId="26" fillId="16" borderId="50" xfId="1" applyFill="1" applyBorder="1" applyAlignment="1">
      <alignment horizontal="center"/>
    </xf>
    <xf numFmtId="0" fontId="26" fillId="16" borderId="49" xfId="1" applyFill="1" applyBorder="1" applyAlignment="1">
      <alignment horizontal="center"/>
    </xf>
    <xf numFmtId="0" fontId="26" fillId="0" borderId="51" xfId="1" applyBorder="1" applyAlignment="1">
      <alignment horizontal="right"/>
    </xf>
    <xf numFmtId="0" fontId="26" fillId="15" borderId="42" xfId="1" applyFill="1" applyBorder="1"/>
    <xf numFmtId="0" fontId="26" fillId="0" borderId="42" xfId="1" applyBorder="1"/>
    <xf numFmtId="0" fontId="26" fillId="15" borderId="52" xfId="1" applyFill="1" applyBorder="1"/>
    <xf numFmtId="0" fontId="26" fillId="0" borderId="42" xfId="1" applyAlignment="1">
      <alignment horizontal="center"/>
    </xf>
    <xf numFmtId="0" fontId="26" fillId="16" borderId="53" xfId="1" applyFill="1" applyBorder="1" applyAlignment="1">
      <alignment horizontal="right"/>
    </xf>
    <xf numFmtId="0" fontId="30" fillId="0" borderId="54" xfId="1" applyFont="1" applyBorder="1"/>
    <xf numFmtId="0" fontId="26" fillId="0" borderId="53" xfId="1" applyBorder="1" applyAlignment="1">
      <alignment horizontal="center"/>
    </xf>
    <xf numFmtId="0" fontId="26" fillId="0" borderId="42" xfId="1" applyBorder="1" applyAlignment="1">
      <alignment horizontal="center"/>
    </xf>
    <xf numFmtId="0" fontId="26" fillId="0" borderId="54" xfId="1" applyBorder="1" applyAlignment="1">
      <alignment horizontal="center"/>
    </xf>
    <xf numFmtId="0" fontId="26" fillId="0" borderId="55" xfId="1" applyBorder="1"/>
    <xf numFmtId="0" fontId="26" fillId="0" borderId="56" xfId="1" applyBorder="1"/>
    <xf numFmtId="0" fontId="26" fillId="0" borderId="43" xfId="1" applyBorder="1" applyAlignment="1">
      <alignment horizontal="right"/>
    </xf>
    <xf numFmtId="2" fontId="26" fillId="0" borderId="57" xfId="1" applyNumberFormat="1" applyBorder="1"/>
    <xf numFmtId="2" fontId="26" fillId="0" borderId="44" xfId="1" applyNumberFormat="1" applyBorder="1"/>
    <xf numFmtId="0" fontId="26" fillId="0" borderId="42" xfId="1" applyFill="1"/>
    <xf numFmtId="0" fontId="26" fillId="16" borderId="58" xfId="1" applyFill="1" applyBorder="1" applyAlignment="1">
      <alignment horizontal="right"/>
    </xf>
    <xf numFmtId="0" fontId="26" fillId="0" borderId="59" xfId="1" applyBorder="1"/>
    <xf numFmtId="0" fontId="29" fillId="0" borderId="53" xfId="1" applyFont="1" applyBorder="1"/>
    <xf numFmtId="0" fontId="30" fillId="0" borderId="42" xfId="1" applyFont="1" applyBorder="1"/>
    <xf numFmtId="0" fontId="29" fillId="0" borderId="54" xfId="1" applyFont="1" applyBorder="1"/>
    <xf numFmtId="0" fontId="31" fillId="0" borderId="43" xfId="1" applyFont="1" applyBorder="1"/>
    <xf numFmtId="0" fontId="26" fillId="0" borderId="57" xfId="1" applyBorder="1"/>
    <xf numFmtId="2" fontId="26" fillId="0" borderId="43" xfId="1" applyNumberFormat="1" applyBorder="1"/>
    <xf numFmtId="0" fontId="26" fillId="0" borderId="54" xfId="1" applyFill="1" applyBorder="1" applyAlignment="1">
      <alignment horizontal="center"/>
    </xf>
    <xf numFmtId="2" fontId="26" fillId="0" borderId="42" xfId="1" applyNumberFormat="1"/>
    <xf numFmtId="0" fontId="26" fillId="0" borderId="53" xfId="1" applyBorder="1"/>
    <xf numFmtId="0" fontId="26" fillId="0" borderId="54" xfId="1" applyBorder="1"/>
    <xf numFmtId="0" fontId="26" fillId="0" borderId="50" xfId="1" applyBorder="1"/>
    <xf numFmtId="0" fontId="26" fillId="0" borderId="60" xfId="1" applyBorder="1" applyAlignment="1">
      <alignment horizontal="center"/>
    </xf>
    <xf numFmtId="0" fontId="26" fillId="0" borderId="61" xfId="1" applyBorder="1"/>
    <xf numFmtId="0" fontId="26" fillId="0" borderId="48" xfId="1" quotePrefix="1" applyBorder="1"/>
    <xf numFmtId="0" fontId="26" fillId="0" borderId="49" xfId="1" applyBorder="1"/>
    <xf numFmtId="0" fontId="26" fillId="16" borderId="48" xfId="1" applyFill="1" applyBorder="1"/>
    <xf numFmtId="0" fontId="26" fillId="16" borderId="42" xfId="1" applyFill="1" applyBorder="1" applyAlignment="1">
      <alignment horizontal="center"/>
    </xf>
    <xf numFmtId="0" fontId="26" fillId="0" borderId="47" xfId="1" applyBorder="1"/>
    <xf numFmtId="0" fontId="26" fillId="0" borderId="53" xfId="1" applyBorder="1" applyAlignment="1">
      <alignment horizontal="right"/>
    </xf>
    <xf numFmtId="0" fontId="26" fillId="0" borderId="62" xfId="1" applyBorder="1"/>
    <xf numFmtId="176" fontId="26" fillId="0" borderId="49" xfId="1" applyNumberFormat="1" applyBorder="1" applyAlignment="1">
      <alignment horizontal="right"/>
    </xf>
    <xf numFmtId="176" fontId="26" fillId="0" borderId="48" xfId="1" applyNumberFormat="1" applyBorder="1"/>
    <xf numFmtId="176" fontId="26" fillId="0" borderId="50" xfId="1" applyNumberFormat="1" applyBorder="1"/>
    <xf numFmtId="176" fontId="26" fillId="0" borderId="49" xfId="1" applyNumberFormat="1" applyBorder="1"/>
    <xf numFmtId="2" fontId="26" fillId="0" borderId="42" xfId="1" applyNumberFormat="1" applyBorder="1"/>
    <xf numFmtId="179" fontId="26" fillId="0" borderId="51" xfId="1" applyNumberFormat="1" applyBorder="1"/>
    <xf numFmtId="179" fontId="26" fillId="0" borderId="42" xfId="1" applyNumberFormat="1" applyBorder="1"/>
    <xf numFmtId="179" fontId="26" fillId="0" borderId="52" xfId="1" applyNumberFormat="1" applyBorder="1"/>
    <xf numFmtId="0" fontId="26" fillId="0" borderId="58" xfId="1" applyBorder="1" applyAlignment="1">
      <alignment horizontal="right"/>
    </xf>
    <xf numFmtId="0" fontId="26" fillId="15" borderId="63" xfId="1" applyFill="1" applyBorder="1"/>
    <xf numFmtId="0" fontId="26" fillId="0" borderId="59" xfId="1" applyBorder="1" applyAlignment="1">
      <alignment horizontal="right"/>
    </xf>
    <xf numFmtId="176" fontId="26" fillId="0" borderId="58" xfId="1" applyNumberFormat="1" applyBorder="1"/>
    <xf numFmtId="176" fontId="26" fillId="0" borderId="64" xfId="1" applyNumberFormat="1" applyBorder="1"/>
    <xf numFmtId="176" fontId="26" fillId="0" borderId="59" xfId="1" applyNumberFormat="1" applyBorder="1"/>
    <xf numFmtId="2" fontId="26" fillId="0" borderId="64" xfId="1" applyNumberFormat="1" applyBorder="1"/>
    <xf numFmtId="0" fontId="26" fillId="0" borderId="48" xfId="1" applyBorder="1"/>
    <xf numFmtId="0" fontId="26" fillId="0" borderId="42" xfId="1" applyAlignment="1">
      <alignment horizontal="right"/>
    </xf>
    <xf numFmtId="179" fontId="26" fillId="0" borderId="45" xfId="1" applyNumberFormat="1" applyBorder="1"/>
    <xf numFmtId="179" fontId="26" fillId="0" borderId="60" xfId="1" applyNumberFormat="1" applyBorder="1"/>
    <xf numFmtId="2" fontId="30" fillId="0" borderId="54" xfId="1" applyNumberFormat="1" applyFont="1" applyBorder="1"/>
    <xf numFmtId="180" fontId="26" fillId="0" borderId="42" xfId="1" applyNumberFormat="1" applyBorder="1"/>
    <xf numFmtId="180" fontId="26" fillId="0" borderId="52" xfId="1" applyNumberFormat="1" applyBorder="1"/>
    <xf numFmtId="179" fontId="26" fillId="0" borderId="55" xfId="1" applyNumberFormat="1" applyBorder="1"/>
    <xf numFmtId="179" fontId="26" fillId="0" borderId="63" xfId="1" applyNumberFormat="1" applyBorder="1"/>
    <xf numFmtId="2" fontId="29" fillId="0" borderId="59" xfId="1" applyNumberFormat="1" applyFont="1" applyBorder="1"/>
    <xf numFmtId="179" fontId="26" fillId="0" borderId="56" xfId="1" applyNumberFormat="1" applyBorder="1"/>
    <xf numFmtId="179" fontId="26" fillId="0" borderId="65" xfId="1" applyNumberFormat="1" applyBorder="1"/>
    <xf numFmtId="0" fontId="26" fillId="0" borderId="66" xfId="1" applyBorder="1"/>
    <xf numFmtId="1" fontId="26" fillId="0" borderId="67" xfId="1" applyNumberFormat="1" applyBorder="1"/>
    <xf numFmtId="1" fontId="26" fillId="0" borderId="42" xfId="1" applyNumberFormat="1" applyBorder="1"/>
    <xf numFmtId="180" fontId="26" fillId="0" borderId="48" xfId="1" applyNumberFormat="1" applyBorder="1"/>
    <xf numFmtId="180" fontId="26" fillId="0" borderId="49" xfId="1" applyNumberFormat="1" applyBorder="1"/>
    <xf numFmtId="176" fontId="26" fillId="0" borderId="42" xfId="1" applyNumberFormat="1" applyBorder="1"/>
    <xf numFmtId="2" fontId="26" fillId="0" borderId="45" xfId="1" applyNumberFormat="1" applyBorder="1"/>
    <xf numFmtId="2" fontId="30" fillId="0" borderId="46" xfId="1" applyNumberFormat="1" applyFont="1" applyBorder="1"/>
    <xf numFmtId="2" fontId="26" fillId="0" borderId="47" xfId="1" applyNumberFormat="1" applyBorder="1"/>
    <xf numFmtId="0" fontId="26" fillId="0" borderId="42" xfId="1" quotePrefix="1"/>
    <xf numFmtId="2" fontId="26" fillId="0" borderId="55" xfId="1" applyNumberFormat="1" applyBorder="1"/>
    <xf numFmtId="2" fontId="26" fillId="0" borderId="56" xfId="1" applyNumberFormat="1" applyBorder="1"/>
    <xf numFmtId="2" fontId="26" fillId="0" borderId="65" xfId="1" applyNumberFormat="1" applyBorder="1"/>
    <xf numFmtId="181" fontId="26" fillId="0" borderId="42" xfId="1" applyNumberFormat="1" applyBorder="1"/>
    <xf numFmtId="0" fontId="26" fillId="17" borderId="42" xfId="1" applyFill="1"/>
    <xf numFmtId="0" fontId="26" fillId="17" borderId="42" xfId="1" applyFill="1" applyAlignment="1">
      <alignment horizontal="center"/>
    </xf>
    <xf numFmtId="0" fontId="26" fillId="16" borderId="48" xfId="1" applyFill="1" applyBorder="1" applyAlignment="1">
      <alignment horizontal="right"/>
    </xf>
    <xf numFmtId="0" fontId="26" fillId="0" borderId="67" xfId="1" applyBorder="1"/>
    <xf numFmtId="2" fontId="26" fillId="0" borderId="42" xfId="1" applyNumberFormat="1" applyFill="1" applyBorder="1"/>
    <xf numFmtId="0" fontId="30" fillId="0" borderId="42" xfId="1" applyFont="1"/>
    <xf numFmtId="0" fontId="30" fillId="0" borderId="42" xfId="1" applyFont="1" applyAlignment="1">
      <alignment horizontal="right"/>
    </xf>
    <xf numFmtId="2" fontId="26" fillId="0" borderId="45" xfId="1" applyNumberFormat="1" applyBorder="1" applyAlignment="1">
      <alignment horizontal="center"/>
    </xf>
    <xf numFmtId="0" fontId="33" fillId="0" borderId="46" xfId="2" applyBorder="1"/>
    <xf numFmtId="0" fontId="33" fillId="0" borderId="47" xfId="2" applyBorder="1" applyAlignment="1">
      <alignment horizontal="center"/>
    </xf>
    <xf numFmtId="1" fontId="26" fillId="0" borderId="51" xfId="1" applyNumberFormat="1" applyFont="1" applyBorder="1"/>
    <xf numFmtId="0" fontId="26" fillId="0" borderId="52" xfId="1" applyBorder="1"/>
    <xf numFmtId="1" fontId="26" fillId="0" borderId="55" xfId="1" applyNumberFormat="1" applyFont="1" applyFill="1" applyBorder="1"/>
    <xf numFmtId="0" fontId="26" fillId="0" borderId="65" xfId="1" applyBorder="1"/>
    <xf numFmtId="0" fontId="26" fillId="15" borderId="57" xfId="1" applyFill="1" applyBorder="1"/>
    <xf numFmtId="2" fontId="26" fillId="15" borderId="44" xfId="1" applyNumberFormat="1" applyFill="1" applyBorder="1"/>
    <xf numFmtId="178" fontId="26" fillId="15" borderId="46" xfId="1" applyNumberFormat="1" applyFill="1" applyBorder="1"/>
    <xf numFmtId="2" fontId="26" fillId="0" borderId="46" xfId="1" applyNumberFormat="1" applyBorder="1"/>
    <xf numFmtId="0" fontId="26" fillId="0" borderId="57" xfId="1" applyBorder="1" applyAlignment="1">
      <alignment horizontal="right"/>
    </xf>
    <xf numFmtId="2" fontId="26" fillId="18" borderId="44" xfId="1" applyNumberFormat="1" applyFill="1" applyBorder="1"/>
    <xf numFmtId="0" fontId="26" fillId="0" borderId="56" xfId="1" applyBorder="1" applyAlignment="1">
      <alignment horizontal="right"/>
    </xf>
    <xf numFmtId="0" fontId="26" fillId="15" borderId="56" xfId="1" applyFill="1" applyBorder="1"/>
    <xf numFmtId="0" fontId="26" fillId="18" borderId="65" xfId="1" applyFill="1" applyBorder="1"/>
    <xf numFmtId="0" fontId="26" fillId="15" borderId="46" xfId="1" applyFill="1" applyBorder="1"/>
    <xf numFmtId="0" fontId="26" fillId="15" borderId="47" xfId="1" applyFill="1" applyBorder="1"/>
    <xf numFmtId="0" fontId="26" fillId="0" borderId="45" xfId="1" applyBorder="1" applyAlignment="1">
      <alignment horizontal="right"/>
    </xf>
    <xf numFmtId="2" fontId="26" fillId="18" borderId="47" xfId="1" applyNumberFormat="1" applyFill="1" applyBorder="1"/>
    <xf numFmtId="176" fontId="26" fillId="0" borderId="65" xfId="1" applyNumberFormat="1" applyBorder="1"/>
    <xf numFmtId="0" fontId="30" fillId="0" borderId="42" xfId="1" applyFont="1" applyFill="1" applyBorder="1"/>
    <xf numFmtId="2" fontId="30" fillId="0" borderId="42" xfId="1" applyNumberFormat="1" applyFont="1" applyFill="1"/>
    <xf numFmtId="0" fontId="30" fillId="0" borderId="42" xfId="1" applyFont="1" applyFill="1" applyBorder="1" applyAlignment="1">
      <alignment horizontal="center"/>
    </xf>
    <xf numFmtId="0" fontId="26" fillId="16" borderId="45" xfId="1" applyFill="1" applyBorder="1" applyAlignment="1">
      <alignment horizontal="center"/>
    </xf>
    <xf numFmtId="0" fontId="26" fillId="16" borderId="45" xfId="1" applyFill="1" applyBorder="1"/>
    <xf numFmtId="0" fontId="26" fillId="16" borderId="68" xfId="1" applyFill="1" applyBorder="1" applyAlignment="1">
      <alignment horizontal="center"/>
    </xf>
    <xf numFmtId="0" fontId="26" fillId="16" borderId="46" xfId="1" applyFill="1" applyBorder="1" applyAlignment="1">
      <alignment horizontal="center"/>
    </xf>
    <xf numFmtId="0" fontId="26" fillId="16" borderId="47" xfId="1" applyFill="1" applyBorder="1" applyAlignment="1">
      <alignment horizontal="center"/>
    </xf>
    <xf numFmtId="0" fontId="26" fillId="16" borderId="51" xfId="1" applyFill="1" applyBorder="1" applyAlignment="1">
      <alignment horizontal="right"/>
    </xf>
    <xf numFmtId="0" fontId="30" fillId="18" borderId="52" xfId="1" applyFont="1" applyFill="1" applyBorder="1"/>
    <xf numFmtId="0" fontId="26" fillId="0" borderId="51" xfId="1" applyBorder="1" applyAlignment="1">
      <alignment horizontal="center"/>
    </xf>
    <xf numFmtId="0" fontId="30" fillId="18" borderId="42" xfId="1" applyFont="1" applyFill="1" applyBorder="1"/>
    <xf numFmtId="0" fontId="29" fillId="0" borderId="52" xfId="1" applyFont="1" applyBorder="1"/>
    <xf numFmtId="0" fontId="26" fillId="0" borderId="42" xfId="1" applyBorder="1" applyAlignment="1">
      <alignment horizontal="right"/>
    </xf>
    <xf numFmtId="0" fontId="26" fillId="16" borderId="55" xfId="1" applyFill="1" applyBorder="1" applyAlignment="1">
      <alignment horizontal="right"/>
    </xf>
    <xf numFmtId="0" fontId="26" fillId="0" borderId="55" xfId="1" applyBorder="1" applyAlignment="1">
      <alignment horizontal="center"/>
    </xf>
    <xf numFmtId="0" fontId="26" fillId="0" borderId="69" xfId="1" applyBorder="1"/>
    <xf numFmtId="0" fontId="26" fillId="18" borderId="56" xfId="1" applyFill="1" applyBorder="1"/>
    <xf numFmtId="0" fontId="26" fillId="0" borderId="55" xfId="1" applyBorder="1" applyAlignment="1">
      <alignment horizontal="right"/>
    </xf>
    <xf numFmtId="2" fontId="26" fillId="18" borderId="56" xfId="1" applyNumberFormat="1" applyFill="1" applyBorder="1"/>
    <xf numFmtId="2" fontId="26" fillId="0" borderId="56" xfId="1" applyNumberFormat="1" applyFill="1" applyBorder="1"/>
    <xf numFmtId="0" fontId="26" fillId="19" borderId="45" xfId="1" applyFill="1" applyBorder="1"/>
    <xf numFmtId="0" fontId="26" fillId="0" borderId="46" xfId="1" applyFill="1" applyBorder="1" applyAlignment="1">
      <alignment horizontal="center"/>
    </xf>
    <xf numFmtId="0" fontId="26" fillId="0" borderId="70" xfId="1" applyBorder="1" applyAlignment="1">
      <alignment horizontal="center"/>
    </xf>
    <xf numFmtId="0" fontId="26" fillId="19" borderId="51" xfId="1" applyFill="1" applyBorder="1" applyAlignment="1">
      <alignment horizontal="right"/>
    </xf>
    <xf numFmtId="2" fontId="30" fillId="18" borderId="42" xfId="1" applyNumberFormat="1" applyFont="1" applyFill="1" applyBorder="1"/>
    <xf numFmtId="2" fontId="26" fillId="0" borderId="52" xfId="1" applyNumberFormat="1" applyBorder="1"/>
    <xf numFmtId="0" fontId="26" fillId="19" borderId="55" xfId="1" applyFill="1" applyBorder="1" applyAlignment="1">
      <alignment horizontal="right"/>
    </xf>
    <xf numFmtId="2" fontId="29" fillId="0" borderId="56" xfId="1" applyNumberFormat="1" applyFont="1" applyBorder="1"/>
    <xf numFmtId="2" fontId="34" fillId="20" borderId="42" xfId="1" applyNumberFormat="1" applyFont="1" applyFill="1"/>
    <xf numFmtId="2" fontId="34" fillId="0" borderId="42" xfId="1" applyNumberFormat="1" applyFont="1" applyFill="1"/>
    <xf numFmtId="0" fontId="26" fillId="0" borderId="51" xfId="1" applyBorder="1"/>
    <xf numFmtId="177" fontId="26" fillId="0" borderId="42" xfId="1" applyNumberFormat="1" applyBorder="1"/>
    <xf numFmtId="0" fontId="34" fillId="0" borderId="42" xfId="1" applyFont="1" applyAlignment="1">
      <alignment horizontal="left" vertical="center" readingOrder="1"/>
    </xf>
    <xf numFmtId="0" fontId="26" fillId="0" borderId="42" xfId="1" quotePrefix="1" applyBorder="1"/>
    <xf numFmtId="2" fontId="26" fillId="0" borderId="48" xfId="1" applyNumberFormat="1" applyBorder="1"/>
    <xf numFmtId="2" fontId="26" fillId="18" borderId="48" xfId="1" applyNumberFormat="1" applyFill="1" applyBorder="1"/>
    <xf numFmtId="2" fontId="26" fillId="0" borderId="58" xfId="1" applyNumberFormat="1" applyBorder="1"/>
    <xf numFmtId="2" fontId="26" fillId="18" borderId="42" xfId="1" applyNumberFormat="1" applyFill="1"/>
    <xf numFmtId="0" fontId="35" fillId="0" borderId="42" xfId="1" applyFont="1"/>
    <xf numFmtId="0" fontId="26" fillId="18" borderId="42" xfId="1" applyFill="1"/>
    <xf numFmtId="0" fontId="26" fillId="15" borderId="42" xfId="1" applyFill="1" applyAlignment="1">
      <alignment horizontal="center"/>
    </xf>
    <xf numFmtId="0" fontId="36" fillId="21" borderId="42" xfId="1" applyFont="1" applyFill="1"/>
    <xf numFmtId="0" fontId="37" fillId="21" borderId="42" xfId="1" applyFont="1" applyFill="1"/>
    <xf numFmtId="0" fontId="26" fillId="21" borderId="42" xfId="1" applyFill="1"/>
    <xf numFmtId="1" fontId="26" fillId="0" borderId="42" xfId="1" applyNumberFormat="1"/>
    <xf numFmtId="178" fontId="26" fillId="0" borderId="42" xfId="1" applyNumberFormat="1"/>
    <xf numFmtId="182" fontId="26" fillId="0" borderId="42" xfId="1" applyNumberFormat="1"/>
    <xf numFmtId="182" fontId="40" fillId="0" borderId="42" xfId="1" applyNumberFormat="1" applyFont="1"/>
    <xf numFmtId="0" fontId="26" fillId="22" borderId="42" xfId="1" applyFill="1"/>
    <xf numFmtId="0" fontId="42" fillId="0" borderId="71" xfId="1" applyFont="1" applyBorder="1"/>
    <xf numFmtId="177" fontId="26" fillId="0" borderId="46" xfId="1" applyNumberFormat="1" applyBorder="1"/>
    <xf numFmtId="0" fontId="26" fillId="0" borderId="46" xfId="1" quotePrefix="1" applyBorder="1"/>
    <xf numFmtId="0" fontId="42" fillId="0" borderId="43" xfId="1" applyFont="1" applyBorder="1"/>
    <xf numFmtId="179" fontId="26" fillId="23" borderId="42" xfId="1" applyNumberFormat="1" applyFill="1" applyBorder="1"/>
    <xf numFmtId="2" fontId="26" fillId="23" borderId="42" xfId="1" applyNumberFormat="1" applyFill="1" applyBorder="1"/>
    <xf numFmtId="178" fontId="26" fillId="0" borderId="42" xfId="1" applyNumberFormat="1" applyBorder="1"/>
    <xf numFmtId="0" fontId="26" fillId="23" borderId="42" xfId="1" applyFill="1" applyBorder="1"/>
    <xf numFmtId="0" fontId="29" fillId="23" borderId="42" xfId="1" applyFont="1" applyFill="1" applyBorder="1"/>
    <xf numFmtId="0" fontId="44" fillId="0" borderId="43" xfId="1" applyFont="1" applyBorder="1"/>
    <xf numFmtId="0" fontId="32" fillId="0" borderId="44" xfId="1" applyFont="1" applyBorder="1"/>
    <xf numFmtId="176" fontId="26" fillId="23" borderId="42" xfId="1" applyNumberFormat="1" applyFill="1" applyBorder="1"/>
    <xf numFmtId="2" fontId="26" fillId="23" borderId="56" xfId="1" applyNumberFormat="1" applyFill="1" applyBorder="1"/>
    <xf numFmtId="180" fontId="26" fillId="23" borderId="42" xfId="1" applyNumberFormat="1" applyFill="1" applyBorder="1"/>
    <xf numFmtId="0" fontId="29" fillId="0" borderId="71" xfId="1" applyFont="1" applyBorder="1"/>
    <xf numFmtId="2" fontId="26" fillId="0" borderId="60" xfId="1" applyNumberFormat="1" applyBorder="1" applyAlignment="1">
      <alignment horizontal="center"/>
    </xf>
    <xf numFmtId="2" fontId="26" fillId="0" borderId="71" xfId="1" applyNumberFormat="1" applyBorder="1" applyAlignment="1">
      <alignment horizontal="center"/>
    </xf>
    <xf numFmtId="0" fontId="26" fillId="0" borderId="42" xfId="1" quotePrefix="1" applyBorder="1" applyAlignment="1">
      <alignment horizontal="center"/>
    </xf>
    <xf numFmtId="0" fontId="45" fillId="0" borderId="52" xfId="1" applyFont="1" applyBorder="1"/>
    <xf numFmtId="0" fontId="47" fillId="0" borderId="42" xfId="1" applyFont="1" applyBorder="1"/>
    <xf numFmtId="0" fontId="26" fillId="0" borderId="45" xfId="1" applyBorder="1" applyAlignment="1">
      <alignment horizontal="center"/>
    </xf>
    <xf numFmtId="0" fontId="49" fillId="7" borderId="8" xfId="0" applyFont="1" applyFill="1" applyBorder="1" applyAlignment="1">
      <alignment horizontal="center" vertical="center"/>
    </xf>
    <xf numFmtId="0" fontId="50" fillId="0" borderId="0" xfId="0" applyFont="1" applyAlignment="1">
      <alignment vertical="center"/>
    </xf>
    <xf numFmtId="176" fontId="50" fillId="0" borderId="0" xfId="0" applyNumberFormat="1" applyFont="1" applyAlignment="1">
      <alignment vertical="center"/>
    </xf>
    <xf numFmtId="2" fontId="50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50" fillId="0" borderId="72" xfId="0" applyFont="1" applyBorder="1" applyAlignment="1">
      <alignment vertical="center"/>
    </xf>
    <xf numFmtId="176" fontId="50" fillId="7" borderId="75" xfId="0" applyNumberFormat="1" applyFont="1" applyFill="1" applyBorder="1" applyAlignment="1">
      <alignment horizontal="center" vertical="center"/>
    </xf>
    <xf numFmtId="0" fontId="50" fillId="14" borderId="78" xfId="0" applyFont="1" applyFill="1" applyBorder="1" applyAlignment="1">
      <alignment horizontal="center" vertical="center"/>
    </xf>
    <xf numFmtId="0" fontId="50" fillId="14" borderId="79" xfId="0" applyFont="1" applyFill="1" applyBorder="1" applyAlignment="1">
      <alignment horizontal="center" vertical="center"/>
    </xf>
    <xf numFmtId="176" fontId="50" fillId="0" borderId="79" xfId="0" applyNumberFormat="1" applyFont="1" applyBorder="1" applyAlignment="1">
      <alignment horizontal="center" vertical="center"/>
    </xf>
    <xf numFmtId="1" fontId="50" fillId="0" borderId="0" xfId="0" applyNumberFormat="1" applyFont="1" applyAlignment="1">
      <alignment vertical="center"/>
    </xf>
    <xf numFmtId="2" fontId="50" fillId="0" borderId="80" xfId="0" applyNumberFormat="1" applyFont="1" applyBorder="1" applyAlignment="1">
      <alignment vertical="center"/>
    </xf>
    <xf numFmtId="1" fontId="50" fillId="0" borderId="72" xfId="0" applyNumberFormat="1" applyFont="1" applyBorder="1" applyAlignment="1">
      <alignment horizontal="center" vertical="center"/>
    </xf>
    <xf numFmtId="2" fontId="50" fillId="0" borderId="72" xfId="0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50" fillId="14" borderId="82" xfId="0" applyFont="1" applyFill="1" applyBorder="1" applyAlignment="1">
      <alignment horizontal="center" vertical="center"/>
    </xf>
    <xf numFmtId="0" fontId="0" fillId="0" borderId="42" xfId="0" applyFont="1" applyBorder="1" applyAlignment="1">
      <alignment vertical="center"/>
    </xf>
    <xf numFmtId="176" fontId="52" fillId="0" borderId="80" xfId="0" applyNumberFormat="1" applyFont="1" applyBorder="1" applyAlignment="1">
      <alignment horizontal="center" vertical="center"/>
    </xf>
    <xf numFmtId="176" fontId="50" fillId="0" borderId="0" xfId="0" applyNumberFormat="1" applyFont="1" applyAlignment="1">
      <alignment horizontal="center" vertical="center"/>
    </xf>
    <xf numFmtId="2" fontId="50" fillId="0" borderId="72" xfId="0" applyNumberFormat="1" applyFont="1" applyBorder="1" applyAlignment="1">
      <alignment horizontal="center" vertical="center"/>
    </xf>
    <xf numFmtId="178" fontId="52" fillId="0" borderId="80" xfId="0" applyNumberFormat="1" applyFont="1" applyBorder="1" applyAlignment="1">
      <alignment horizontal="center" vertical="center"/>
    </xf>
    <xf numFmtId="0" fontId="0" fillId="0" borderId="78" xfId="0" applyFont="1" applyBorder="1" applyAlignment="1">
      <alignment horizontal="center" vertical="center"/>
    </xf>
    <xf numFmtId="1" fontId="52" fillId="0" borderId="80" xfId="0" applyNumberFormat="1" applyFont="1" applyBorder="1" applyAlignment="1">
      <alignment horizontal="center" vertical="center"/>
    </xf>
    <xf numFmtId="0" fontId="50" fillId="0" borderId="78" xfId="0" applyFont="1" applyBorder="1" applyAlignment="1">
      <alignment horizontal="center" vertical="center"/>
    </xf>
    <xf numFmtId="0" fontId="56" fillId="0" borderId="0" xfId="0" applyFont="1" applyAlignment="1">
      <alignment vertical="center"/>
    </xf>
    <xf numFmtId="177" fontId="5" fillId="0" borderId="25" xfId="0" applyNumberFormat="1" applyFont="1" applyBorder="1" applyAlignment="1">
      <alignment horizontal="center" vertical="center"/>
    </xf>
    <xf numFmtId="0" fontId="50" fillId="0" borderId="72" xfId="0" applyFont="1" applyBorder="1" applyAlignment="1">
      <alignment horizontal="center" vertical="center"/>
    </xf>
    <xf numFmtId="0" fontId="50" fillId="14" borderId="72" xfId="0" applyFont="1" applyFill="1" applyBorder="1" applyAlignment="1">
      <alignment horizontal="center" vertical="center"/>
    </xf>
    <xf numFmtId="176" fontId="52" fillId="0" borderId="77" xfId="0" applyNumberFormat="1" applyFont="1" applyBorder="1" applyAlignment="1">
      <alignment horizontal="center" vertical="center"/>
    </xf>
    <xf numFmtId="2" fontId="50" fillId="14" borderId="79" xfId="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2" fontId="50" fillId="0" borderId="0" xfId="0" applyNumberFormat="1" applyFont="1" applyAlignment="1">
      <alignment horizontal="center" vertical="center"/>
    </xf>
    <xf numFmtId="0" fontId="50" fillId="0" borderId="42" xfId="0" applyFont="1" applyBorder="1" applyAlignment="1">
      <alignment vertical="center"/>
    </xf>
    <xf numFmtId="0" fontId="50" fillId="0" borderId="79" xfId="0" applyFont="1" applyBorder="1" applyAlignment="1">
      <alignment horizontal="center" vertical="center"/>
    </xf>
    <xf numFmtId="2" fontId="8" fillId="0" borderId="25" xfId="0" applyNumberFormat="1" applyFont="1" applyBorder="1" applyAlignment="1">
      <alignment horizontal="center" vertical="center"/>
    </xf>
    <xf numFmtId="0" fontId="3" fillId="8" borderId="78" xfId="0" applyFont="1" applyFill="1" applyBorder="1" applyAlignment="1">
      <alignment horizontal="center" vertical="center"/>
    </xf>
    <xf numFmtId="9" fontId="3" fillId="8" borderId="79" xfId="0" applyNumberFormat="1" applyFont="1" applyFill="1" applyBorder="1" applyAlignment="1">
      <alignment horizontal="center" vertical="center"/>
    </xf>
    <xf numFmtId="176" fontId="5" fillId="9" borderId="80" xfId="0" applyNumberFormat="1" applyFont="1" applyFill="1" applyBorder="1" applyAlignment="1">
      <alignment horizontal="center" vertical="center"/>
    </xf>
    <xf numFmtId="2" fontId="5" fillId="9" borderId="79" xfId="0" applyNumberFormat="1" applyFont="1" applyFill="1" applyBorder="1" applyAlignment="1">
      <alignment horizontal="center" vertical="center"/>
    </xf>
    <xf numFmtId="177" fontId="50" fillId="0" borderId="0" xfId="0" applyNumberFormat="1" applyFont="1" applyAlignment="1">
      <alignment vertical="center"/>
    </xf>
    <xf numFmtId="9" fontId="50" fillId="0" borderId="79" xfId="3" applyFont="1" applyBorder="1" applyAlignment="1">
      <alignment horizontal="center" vertical="center"/>
    </xf>
    <xf numFmtId="176" fontId="52" fillId="0" borderId="81" xfId="0" applyNumberFormat="1" applyFont="1" applyBorder="1" applyAlignment="1">
      <alignment horizontal="center" vertical="center"/>
    </xf>
    <xf numFmtId="176" fontId="52" fillId="0" borderId="84" xfId="0" applyNumberFormat="1" applyFont="1" applyBorder="1" applyAlignment="1">
      <alignment horizontal="center" vertical="center"/>
    </xf>
    <xf numFmtId="9" fontId="50" fillId="0" borderId="0" xfId="3" applyFont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3" fillId="6" borderId="72" xfId="0" applyFont="1" applyFill="1" applyBorder="1" applyAlignment="1">
      <alignment horizontal="center" vertical="center" wrapText="1"/>
    </xf>
    <xf numFmtId="0" fontId="50" fillId="7" borderId="72" xfId="0" applyFont="1" applyFill="1" applyBorder="1" applyAlignment="1">
      <alignment horizontal="center" vertical="center" wrapText="1"/>
    </xf>
    <xf numFmtId="0" fontId="50" fillId="7" borderId="77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62" fillId="6" borderId="76" xfId="0" applyFont="1" applyFill="1" applyBorder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0" fontId="50" fillId="7" borderId="66" xfId="0" applyFont="1" applyFill="1" applyBorder="1" applyAlignment="1">
      <alignment horizontal="center" vertical="center" wrapText="1"/>
    </xf>
    <xf numFmtId="2" fontId="5" fillId="9" borderId="95" xfId="0" applyNumberFormat="1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/>
    </xf>
    <xf numFmtId="0" fontId="0" fillId="0" borderId="46" xfId="0" applyFont="1" applyBorder="1" applyAlignment="1">
      <alignment vertical="center"/>
    </xf>
    <xf numFmtId="0" fontId="3" fillId="0" borderId="46" xfId="0" applyFont="1" applyBorder="1" applyAlignment="1">
      <alignment horizontal="center" vertical="center"/>
    </xf>
    <xf numFmtId="0" fontId="0" fillId="0" borderId="47" xfId="0" applyFont="1" applyBorder="1" applyAlignment="1">
      <alignment vertical="center"/>
    </xf>
    <xf numFmtId="0" fontId="3" fillId="0" borderId="55" xfId="0" applyFont="1" applyBorder="1" applyAlignment="1">
      <alignment horizontal="center" vertical="center"/>
    </xf>
    <xf numFmtId="0" fontId="0" fillId="0" borderId="56" xfId="0" applyFont="1" applyBorder="1" applyAlignment="1">
      <alignment vertical="center"/>
    </xf>
    <xf numFmtId="0" fontId="3" fillId="0" borderId="56" xfId="0" applyFont="1" applyBorder="1" applyAlignment="1">
      <alignment horizontal="center" vertical="center"/>
    </xf>
    <xf numFmtId="0" fontId="0" fillId="0" borderId="65" xfId="0" applyFont="1" applyBorder="1" applyAlignment="1">
      <alignment vertical="center"/>
    </xf>
    <xf numFmtId="0" fontId="64" fillId="0" borderId="0" xfId="0" applyFont="1" applyAlignment="1">
      <alignment vertical="center"/>
    </xf>
    <xf numFmtId="0" fontId="3" fillId="12" borderId="7" xfId="0" applyFont="1" applyFill="1" applyBorder="1" applyAlignment="1">
      <alignment horizontal="center" vertical="center" wrapText="1"/>
    </xf>
    <xf numFmtId="1" fontId="50" fillId="15" borderId="0" xfId="0" applyNumberFormat="1" applyFont="1" applyFill="1" applyAlignment="1">
      <alignment vertical="center"/>
    </xf>
    <xf numFmtId="0" fontId="0" fillId="15" borderId="78" xfId="0" applyFont="1" applyFill="1" applyBorder="1" applyAlignment="1">
      <alignment vertical="center"/>
    </xf>
    <xf numFmtId="0" fontId="50" fillId="30" borderId="82" xfId="0" applyFont="1" applyFill="1" applyBorder="1" applyAlignment="1">
      <alignment horizontal="center" vertical="center"/>
    </xf>
    <xf numFmtId="2" fontId="26" fillId="0" borderId="50" xfId="1" applyNumberFormat="1" applyBorder="1"/>
    <xf numFmtId="2" fontId="26" fillId="0" borderId="49" xfId="1" applyNumberFormat="1" applyBorder="1"/>
    <xf numFmtId="2" fontId="26" fillId="0" borderId="59" xfId="1" applyNumberFormat="1" applyBorder="1"/>
    <xf numFmtId="2" fontId="52" fillId="0" borderId="81" xfId="0" applyNumberFormat="1" applyFont="1" applyBorder="1" applyAlignment="1">
      <alignment horizontal="center" vertical="center"/>
    </xf>
    <xf numFmtId="2" fontId="52" fillId="0" borderId="84" xfId="0" applyNumberFormat="1" applyFont="1" applyBorder="1" applyAlignment="1">
      <alignment horizontal="center" vertical="center"/>
    </xf>
    <xf numFmtId="178" fontId="52" fillId="0" borderId="8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3" borderId="73" xfId="0" applyFont="1" applyFill="1" applyBorder="1" applyAlignment="1">
      <alignment horizontal="center" vertical="center"/>
    </xf>
    <xf numFmtId="0" fontId="2" fillId="0" borderId="74" xfId="0" applyFont="1" applyBorder="1" applyAlignment="1">
      <alignment vertical="center"/>
    </xf>
    <xf numFmtId="0" fontId="3" fillId="4" borderId="74" xfId="0" applyFont="1" applyFill="1" applyBorder="1" applyAlignment="1">
      <alignment horizontal="center" vertical="center"/>
    </xf>
    <xf numFmtId="0" fontId="3" fillId="4" borderId="89" xfId="0" applyFont="1" applyFill="1" applyBorder="1" applyAlignment="1">
      <alignment horizontal="center" vertical="center"/>
    </xf>
    <xf numFmtId="0" fontId="2" fillId="0" borderId="75" xfId="0" applyFont="1" applyBorder="1" applyAlignment="1">
      <alignment vertical="center"/>
    </xf>
    <xf numFmtId="9" fontId="1" fillId="5" borderId="1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3" fillId="3" borderId="10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vertical="center" wrapText="1"/>
    </xf>
    <xf numFmtId="0" fontId="6" fillId="4" borderId="11" xfId="0" applyFont="1" applyFill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3" fillId="7" borderId="15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50" fillId="7" borderId="15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2" fontId="3" fillId="10" borderId="15" xfId="0" applyNumberFormat="1" applyFont="1" applyFill="1" applyBorder="1" applyAlignment="1">
      <alignment horizontal="center" vertical="center"/>
    </xf>
    <xf numFmtId="0" fontId="2" fillId="0" borderId="21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3" fillId="13" borderId="18" xfId="0" applyFont="1" applyFill="1" applyBorder="1" applyAlignment="1">
      <alignment horizontal="center" vertical="center"/>
    </xf>
    <xf numFmtId="0" fontId="6" fillId="6" borderId="30" xfId="0" applyFont="1" applyFill="1" applyBorder="1" applyAlignment="1">
      <alignment horizontal="center" vertical="center"/>
    </xf>
    <xf numFmtId="0" fontId="2" fillId="0" borderId="31" xfId="0" applyFont="1" applyBorder="1" applyAlignment="1">
      <alignment vertical="center"/>
    </xf>
    <xf numFmtId="0" fontId="3" fillId="6" borderId="14" xfId="0" applyFont="1" applyFill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0" fontId="3" fillId="10" borderId="14" xfId="0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2" fillId="0" borderId="17" xfId="0" applyFont="1" applyBorder="1" applyAlignment="1">
      <alignment vertical="center"/>
    </xf>
    <xf numFmtId="0" fontId="3" fillId="3" borderId="11" xfId="0" applyFont="1" applyFill="1" applyBorder="1" applyAlignment="1">
      <alignment horizontal="center" vertical="center"/>
    </xf>
    <xf numFmtId="0" fontId="2" fillId="0" borderId="29" xfId="0" applyFont="1" applyBorder="1" applyAlignment="1">
      <alignment vertical="center"/>
    </xf>
    <xf numFmtId="176" fontId="3" fillId="7" borderId="11" xfId="0" applyNumberFormat="1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0" fontId="9" fillId="10" borderId="34" xfId="0" applyFont="1" applyFill="1" applyBorder="1" applyAlignment="1">
      <alignment horizontal="center" vertical="center"/>
    </xf>
    <xf numFmtId="0" fontId="2" fillId="0" borderId="35" xfId="0" applyFont="1" applyBorder="1" applyAlignment="1">
      <alignment vertical="center"/>
    </xf>
    <xf numFmtId="0" fontId="8" fillId="7" borderId="10" xfId="0" applyFont="1" applyFill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8" fillId="13" borderId="33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center" vertical="center"/>
    </xf>
    <xf numFmtId="0" fontId="8" fillId="10" borderId="15" xfId="0" applyFont="1" applyFill="1" applyBorder="1" applyAlignment="1">
      <alignment horizontal="center" vertical="center"/>
    </xf>
    <xf numFmtId="0" fontId="8" fillId="7" borderId="14" xfId="0" applyFont="1" applyFill="1" applyBorder="1" applyAlignment="1">
      <alignment horizontal="center" vertical="center"/>
    </xf>
    <xf numFmtId="176" fontId="5" fillId="0" borderId="40" xfId="0" applyNumberFormat="1" applyFont="1" applyBorder="1" applyAlignment="1">
      <alignment horizontal="center" vertical="center"/>
    </xf>
    <xf numFmtId="0" fontId="2" fillId="0" borderId="41" xfId="0" applyFont="1" applyBorder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/>
    </xf>
    <xf numFmtId="0" fontId="3" fillId="10" borderId="36" xfId="0" applyFont="1" applyFill="1" applyBorder="1" applyAlignment="1">
      <alignment horizontal="center" vertical="center"/>
    </xf>
    <xf numFmtId="0" fontId="2" fillId="0" borderId="37" xfId="0" applyFont="1" applyBorder="1" applyAlignment="1">
      <alignment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0" fontId="50" fillId="10" borderId="72" xfId="0" applyFont="1" applyFill="1" applyBorder="1" applyAlignment="1">
      <alignment horizontal="center" vertical="center"/>
    </xf>
    <xf numFmtId="0" fontId="50" fillId="24" borderId="72" xfId="0" applyFont="1" applyFill="1" applyBorder="1" applyAlignment="1">
      <alignment horizontal="center" vertical="center"/>
    </xf>
    <xf numFmtId="0" fontId="50" fillId="6" borderId="72" xfId="0" applyFont="1" applyFill="1" applyBorder="1" applyAlignment="1">
      <alignment horizontal="center" vertical="center"/>
    </xf>
    <xf numFmtId="176" fontId="52" fillId="0" borderId="79" xfId="0" applyNumberFormat="1" applyFont="1" applyBorder="1" applyAlignment="1">
      <alignment horizontal="center" vertical="center"/>
    </xf>
    <xf numFmtId="0" fontId="51" fillId="0" borderId="79" xfId="0" applyFont="1" applyBorder="1" applyAlignment="1">
      <alignment vertical="center"/>
    </xf>
    <xf numFmtId="0" fontId="50" fillId="3" borderId="73" xfId="0" applyFont="1" applyFill="1" applyBorder="1" applyAlignment="1">
      <alignment horizontal="center" vertical="center"/>
    </xf>
    <xf numFmtId="0" fontId="50" fillId="3" borderId="74" xfId="0" applyFont="1" applyFill="1" applyBorder="1" applyAlignment="1">
      <alignment horizontal="center" vertical="center"/>
    </xf>
    <xf numFmtId="0" fontId="50" fillId="6" borderId="76" xfId="0" applyFont="1" applyFill="1" applyBorder="1" applyAlignment="1">
      <alignment horizontal="center" vertical="center"/>
    </xf>
    <xf numFmtId="176" fontId="50" fillId="7" borderId="74" xfId="0" applyNumberFormat="1" applyFont="1" applyFill="1" applyBorder="1" applyAlignment="1">
      <alignment horizontal="center" vertical="center"/>
    </xf>
    <xf numFmtId="176" fontId="50" fillId="7" borderId="75" xfId="0" applyNumberFormat="1" applyFont="1" applyFill="1" applyBorder="1" applyAlignment="1">
      <alignment horizontal="center" vertical="center"/>
    </xf>
    <xf numFmtId="0" fontId="50" fillId="10" borderId="77" xfId="0" applyFont="1" applyFill="1" applyBorder="1" applyAlignment="1">
      <alignment horizontal="center" vertical="center"/>
    </xf>
    <xf numFmtId="0" fontId="50" fillId="10" borderId="84" xfId="0" applyFont="1" applyFill="1" applyBorder="1" applyAlignment="1">
      <alignment horizontal="center" vertical="center"/>
    </xf>
    <xf numFmtId="0" fontId="50" fillId="10" borderId="85" xfId="0" applyFont="1" applyFill="1" applyBorder="1" applyAlignment="1">
      <alignment horizontal="center" vertical="center"/>
    </xf>
    <xf numFmtId="0" fontId="50" fillId="6" borderId="83" xfId="0" applyFont="1" applyFill="1" applyBorder="1" applyAlignment="1">
      <alignment horizontal="center" vertical="center"/>
    </xf>
    <xf numFmtId="0" fontId="50" fillId="3" borderId="86" xfId="0" applyFont="1" applyFill="1" applyBorder="1" applyAlignment="1">
      <alignment horizontal="center" vertical="center"/>
    </xf>
    <xf numFmtId="0" fontId="50" fillId="3" borderId="87" xfId="0" applyFont="1" applyFill="1" applyBorder="1" applyAlignment="1">
      <alignment horizontal="center" vertical="center"/>
    </xf>
    <xf numFmtId="0" fontId="50" fillId="3" borderId="88" xfId="0" applyFont="1" applyFill="1" applyBorder="1" applyAlignment="1">
      <alignment horizontal="center" vertical="center"/>
    </xf>
    <xf numFmtId="176" fontId="50" fillId="7" borderId="89" xfId="0" applyNumberFormat="1" applyFont="1" applyFill="1" applyBorder="1" applyAlignment="1">
      <alignment horizontal="center" vertical="center"/>
    </xf>
    <xf numFmtId="176" fontId="50" fillId="7" borderId="87" xfId="0" applyNumberFormat="1" applyFont="1" applyFill="1" applyBorder="1" applyAlignment="1">
      <alignment horizontal="center" vertical="center"/>
    </xf>
    <xf numFmtId="176" fontId="50" fillId="7" borderId="90" xfId="0" applyNumberFormat="1" applyFont="1" applyFill="1" applyBorder="1" applyAlignment="1">
      <alignment horizontal="center" vertical="center"/>
    </xf>
    <xf numFmtId="0" fontId="50" fillId="0" borderId="76" xfId="0" applyFont="1" applyBorder="1" applyAlignment="1">
      <alignment horizontal="center" vertical="center"/>
    </xf>
    <xf numFmtId="0" fontId="50" fillId="0" borderId="72" xfId="0" applyFont="1" applyBorder="1" applyAlignment="1">
      <alignment horizontal="center" vertical="center"/>
    </xf>
    <xf numFmtId="0" fontId="57" fillId="26" borderId="76" xfId="0" applyFont="1" applyFill="1" applyBorder="1" applyAlignment="1">
      <alignment horizontal="center" vertical="center"/>
    </xf>
    <xf numFmtId="0" fontId="57" fillId="18" borderId="52" xfId="0" applyFont="1" applyFill="1" applyBorder="1" applyAlignment="1">
      <alignment horizontal="center" vertical="center"/>
    </xf>
    <xf numFmtId="0" fontId="50" fillId="25" borderId="72" xfId="0" applyFont="1" applyFill="1" applyBorder="1" applyAlignment="1">
      <alignment horizontal="center" vertical="center"/>
    </xf>
    <xf numFmtId="0" fontId="57" fillId="26" borderId="72" xfId="0" applyFont="1" applyFill="1" applyBorder="1" applyAlignment="1">
      <alignment horizontal="center" vertical="center"/>
    </xf>
    <xf numFmtId="0" fontId="50" fillId="0" borderId="78" xfId="0" applyFont="1" applyBorder="1" applyAlignment="1">
      <alignment horizontal="center" vertical="center"/>
    </xf>
    <xf numFmtId="0" fontId="50" fillId="0" borderId="79" xfId="0" applyFont="1" applyBorder="1" applyAlignment="1">
      <alignment horizontal="center" vertical="center"/>
    </xf>
    <xf numFmtId="0" fontId="51" fillId="27" borderId="72" xfId="0" applyFont="1" applyFill="1" applyBorder="1" applyAlignment="1">
      <alignment horizontal="center" vertical="center"/>
    </xf>
    <xf numFmtId="0" fontId="50" fillId="14" borderId="72" xfId="0" applyFont="1" applyFill="1" applyBorder="1" applyAlignment="1">
      <alignment horizontal="center" vertical="center"/>
    </xf>
    <xf numFmtId="176" fontId="52" fillId="0" borderId="72" xfId="0" applyNumberFormat="1" applyFont="1" applyBorder="1" applyAlignment="1">
      <alignment horizontal="center" vertical="center"/>
    </xf>
    <xf numFmtId="176" fontId="52" fillId="0" borderId="77" xfId="0" applyNumberFormat="1" applyFont="1" applyBorder="1" applyAlignment="1">
      <alignment horizontal="center" vertical="center"/>
    </xf>
    <xf numFmtId="0" fontId="50" fillId="10" borderId="73" xfId="0" applyFont="1" applyFill="1" applyBorder="1" applyAlignment="1">
      <alignment horizontal="center" vertical="center"/>
    </xf>
    <xf numFmtId="0" fontId="50" fillId="10" borderId="75" xfId="0" applyFont="1" applyFill="1" applyBorder="1" applyAlignment="1">
      <alignment horizontal="center" vertical="center"/>
    </xf>
    <xf numFmtId="0" fontId="50" fillId="10" borderId="76" xfId="0" applyFont="1" applyFill="1" applyBorder="1" applyAlignment="1">
      <alignment horizontal="center" vertical="center"/>
    </xf>
    <xf numFmtId="176" fontId="52" fillId="0" borderId="80" xfId="0" applyNumberFormat="1" applyFont="1" applyBorder="1" applyAlignment="1">
      <alignment horizontal="center" vertical="center"/>
    </xf>
    <xf numFmtId="0" fontId="57" fillId="28" borderId="92" xfId="0" applyFont="1" applyFill="1" applyBorder="1" applyAlignment="1">
      <alignment horizontal="center" vertical="center"/>
    </xf>
    <xf numFmtId="0" fontId="50" fillId="28" borderId="50" xfId="0" applyFont="1" applyFill="1" applyBorder="1" applyAlignment="1">
      <alignment horizontal="center" vertical="center"/>
    </xf>
    <xf numFmtId="0" fontId="50" fillId="28" borderId="93" xfId="0" applyFont="1" applyFill="1" applyBorder="1" applyAlignment="1">
      <alignment horizontal="center" vertical="center"/>
    </xf>
    <xf numFmtId="0" fontId="50" fillId="28" borderId="64" xfId="0" applyFont="1" applyFill="1" applyBorder="1" applyAlignment="1">
      <alignment horizontal="center" vertical="center"/>
    </xf>
    <xf numFmtId="176" fontId="52" fillId="0" borderId="94" xfId="0" applyNumberFormat="1" applyFont="1" applyBorder="1" applyAlignment="1">
      <alignment horizontal="center" vertical="center"/>
    </xf>
    <xf numFmtId="176" fontId="52" fillId="0" borderId="91" xfId="0" applyNumberFormat="1" applyFont="1" applyBorder="1" applyAlignment="1">
      <alignment horizontal="center" vertical="center"/>
    </xf>
    <xf numFmtId="0" fontId="50" fillId="29" borderId="86" xfId="0" applyFont="1" applyFill="1" applyBorder="1" applyAlignment="1">
      <alignment horizontal="center" vertical="center"/>
    </xf>
    <xf numFmtId="0" fontId="50" fillId="29" borderId="87" xfId="0" applyFont="1" applyFill="1" applyBorder="1" applyAlignment="1">
      <alignment horizontal="center" vertical="center"/>
    </xf>
    <xf numFmtId="2" fontId="52" fillId="0" borderId="48" xfId="0" applyNumberFormat="1" applyFont="1" applyBorder="1" applyAlignment="1">
      <alignment horizontal="center" vertical="center"/>
    </xf>
    <xf numFmtId="2" fontId="52" fillId="0" borderId="49" xfId="0" applyNumberFormat="1" applyFont="1" applyBorder="1" applyAlignment="1">
      <alignment horizontal="center" vertical="center"/>
    </xf>
    <xf numFmtId="0" fontId="50" fillId="10" borderId="48" xfId="0" applyFont="1" applyFill="1" applyBorder="1" applyAlignment="1">
      <alignment horizontal="center" vertical="center"/>
    </xf>
    <xf numFmtId="0" fontId="50" fillId="10" borderId="49" xfId="0" applyFont="1" applyFill="1" applyBorder="1" applyAlignment="1">
      <alignment horizontal="center" vertical="center"/>
    </xf>
    <xf numFmtId="0" fontId="50" fillId="10" borderId="58" xfId="0" applyFont="1" applyFill="1" applyBorder="1" applyAlignment="1">
      <alignment horizontal="center" vertical="center"/>
    </xf>
    <xf numFmtId="0" fontId="50" fillId="10" borderId="59" xfId="0" applyFont="1" applyFill="1" applyBorder="1" applyAlignment="1">
      <alignment horizontal="center" vertical="center"/>
    </xf>
    <xf numFmtId="0" fontId="41" fillId="0" borderId="42" xfId="1" applyFont="1" applyAlignment="1">
      <alignment horizontal="center"/>
    </xf>
    <xf numFmtId="0" fontId="3" fillId="10" borderId="48" xfId="0" applyFont="1" applyFill="1" applyBorder="1" applyAlignment="1">
      <alignment horizontal="center" vertical="center"/>
    </xf>
    <xf numFmtId="2" fontId="52" fillId="0" borderId="66" xfId="0" applyNumberFormat="1" applyFont="1" applyBorder="1" applyAlignment="1">
      <alignment horizontal="center" vertical="center"/>
    </xf>
    <xf numFmtId="2" fontId="52" fillId="0" borderId="61" xfId="0" applyNumberFormat="1" applyFont="1" applyBorder="1" applyAlignment="1">
      <alignment horizontal="center" vertical="center"/>
    </xf>
  </cellXfs>
  <cellStyles count="4">
    <cellStyle name="一般" xfId="0" builtinId="0"/>
    <cellStyle name="一般 2" xfId="1" xr:uid="{D203380C-DE4B-486D-923D-B943675098EE}"/>
    <cellStyle name="百分比" xfId="3" builtinId="5"/>
    <cellStyle name="超連結 2" xfId="2" xr:uid="{7592C3AF-FD33-42F9-A985-719B05C06DC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1"/>
  <c:style val="2"/>
  <c:chart>
    <c:autoTitleDeleted val="1"/>
    <c:plotArea>
      <c:layout>
        <c:manualLayout>
          <c:xMode val="edge"/>
          <c:yMode val="edge"/>
          <c:x val="0.12918351510542952"/>
          <c:y val="0.16679673201087253"/>
          <c:w val="0.83205726227226773"/>
          <c:h val="0.70280980595973197"/>
        </c:manualLayout>
      </c:layout>
      <c:scatterChart>
        <c:scatterStyle val="lineMarker"/>
        <c:varyColors val="0"/>
        <c:ser>
          <c:idx val="0"/>
          <c:order val="0"/>
          <c:tx>
            <c:v>Vds (蒸汽密度, g/m3)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'Chap 1,2 Vps &amp; Vds'!$H$4:$H$20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</c:numCache>
            </c:numRef>
          </c:xVal>
          <c:yVal>
            <c:numRef>
              <c:f>'Chap 1,2 Vps &amp; Vds'!$J$4:$J$20</c:f>
              <c:numCache>
                <c:formatCode>0.00</c:formatCode>
                <c:ptCount val="17"/>
                <c:pt idx="0">
                  <c:v>4.8431303265485424</c:v>
                </c:pt>
                <c:pt idx="1">
                  <c:v>6.7922227680888252</c:v>
                </c:pt>
                <c:pt idx="2">
                  <c:v>9.3924720853268511</c:v>
                </c:pt>
                <c:pt idx="3">
                  <c:v>12.817321616971824</c:v>
                </c:pt>
                <c:pt idx="4">
                  <c:v>17.27438170399056</c:v>
                </c:pt>
                <c:pt idx="5">
                  <c:v>23.009551762970787</c:v>
                </c:pt>
                <c:pt idx="6">
                  <c:v>30.311210572960022</c:v>
                </c:pt>
                <c:pt idx="7">
                  <c:v>39.514419605838235</c:v>
                </c:pt>
                <c:pt idx="8">
                  <c:v>51.005082813102483</c:v>
                </c:pt>
                <c:pt idx="9">
                  <c:v>65.224006212628879</c:v>
                </c:pt>
                <c:pt idx="10">
                  <c:v>82.670801820216354</c:v>
                </c:pt>
                <c:pt idx="11">
                  <c:v>103.90758282974994</c:v>
                </c:pt>
                <c:pt idx="12">
                  <c:v>129.56240032346756</c:v>
                </c:pt>
                <c:pt idx="13">
                  <c:v>160.3323760332255</c:v>
                </c:pt>
                <c:pt idx="14">
                  <c:v>196.9864906084037</c:v>
                </c:pt>
                <c:pt idx="15">
                  <c:v>240.36799230730185</c:v>
                </c:pt>
                <c:pt idx="16">
                  <c:v>291.39639685131027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BE-4403-8957-3923F9D89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792115"/>
        <c:axId val="244202357"/>
      </c:scatterChart>
      <c:valAx>
        <c:axId val="1476792115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zh-TW" altLang="en-US" b="0">
                    <a:solidFill>
                      <a:srgbClr val="000000"/>
                    </a:solidFill>
                    <a:latin typeface="+mn-lt"/>
                  </a:rPr>
                  <a:t>溫度 </a:t>
                </a:r>
                <a:r>
                  <a:rPr lang="en-US" altLang="zh-TW" b="0">
                    <a:solidFill>
                      <a:srgbClr val="000000"/>
                    </a:solidFill>
                    <a:latin typeface="+mn-lt"/>
                  </a:rPr>
                  <a:t>(℃)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Times New Roman"/>
              </a:defRPr>
            </a:pPr>
            <a:endParaRPr lang="zh-TW"/>
          </a:p>
        </c:txPr>
        <c:crossAx val="244202357"/>
        <c:crosses val="autoZero"/>
        <c:crossBetween val="midCat"/>
      </c:valAx>
      <c:valAx>
        <c:axId val="24420235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Vds (</a:t>
                </a:r>
                <a:r>
                  <a:rPr lang="zh-TW" altLang="en-US" b="0">
                    <a:solidFill>
                      <a:srgbClr val="000000"/>
                    </a:solidFill>
                    <a:latin typeface="+mn-lt"/>
                  </a:rPr>
                  <a:t>飽和蒸汽密度</a:t>
                </a:r>
                <a:r>
                  <a:rPr lang="en-US" altLang="zh-TW" b="0">
                    <a:solidFill>
                      <a:srgbClr val="000000"/>
                    </a:solidFill>
                    <a:latin typeface="+mn-lt"/>
                  </a:rPr>
                  <a:t>, </a:t>
                </a: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g/m3)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Times New Roman"/>
              </a:defRPr>
            </a:pPr>
            <a:endParaRPr lang="zh-TW"/>
          </a:p>
        </c:txPr>
        <c:crossAx val="1476792115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Transpiration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hr'!$O$3:$O$26</c:f>
              <c:numCache>
                <c:formatCode>0.00</c:formatCode>
                <c:ptCount val="24"/>
                <c:pt idx="0">
                  <c:v>0.66058040131049156</c:v>
                </c:pt>
                <c:pt idx="1">
                  <c:v>0.57265381974724539</c:v>
                </c:pt>
                <c:pt idx="2">
                  <c:v>0.33393536951747838</c:v>
                </c:pt>
                <c:pt idx="3">
                  <c:v>0.24859577727117771</c:v>
                </c:pt>
                <c:pt idx="4">
                  <c:v>0.20274946827118501</c:v>
                </c:pt>
                <c:pt idx="5">
                  <c:v>0.90809656614431444</c:v>
                </c:pt>
                <c:pt idx="6">
                  <c:v>4.4747914658443175</c:v>
                </c:pt>
                <c:pt idx="7">
                  <c:v>9.9964113596791275</c:v>
                </c:pt>
                <c:pt idx="8">
                  <c:v>13.344542411073251</c:v>
                </c:pt>
                <c:pt idx="9">
                  <c:v>16.069370235887636</c:v>
                </c:pt>
                <c:pt idx="10">
                  <c:v>21.095747356178723</c:v>
                </c:pt>
                <c:pt idx="11">
                  <c:v>24.650063462122759</c:v>
                </c:pt>
                <c:pt idx="12">
                  <c:v>25.811591209612548</c:v>
                </c:pt>
                <c:pt idx="13">
                  <c:v>26.812349730730013</c:v>
                </c:pt>
                <c:pt idx="14">
                  <c:v>23.240347946085826</c:v>
                </c:pt>
                <c:pt idx="15">
                  <c:v>22.880889190537943</c:v>
                </c:pt>
                <c:pt idx="16">
                  <c:v>15.576276110830737</c:v>
                </c:pt>
                <c:pt idx="17">
                  <c:v>11.54122586903633</c:v>
                </c:pt>
                <c:pt idx="18">
                  <c:v>3.0593935143548263</c:v>
                </c:pt>
                <c:pt idx="19">
                  <c:v>2.4073064586315298</c:v>
                </c:pt>
                <c:pt idx="20">
                  <c:v>2.1853528829758164</c:v>
                </c:pt>
                <c:pt idx="21">
                  <c:v>1.6990403073660336</c:v>
                </c:pt>
                <c:pt idx="22">
                  <c:v>1.5998393003382574</c:v>
                </c:pt>
                <c:pt idx="23">
                  <c:v>1.5017733241031266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DC-47AE-8239-8B6BF214BBDB}"/>
            </c:ext>
          </c:extLst>
        </c:ser>
        <c:ser>
          <c:idx val="1"/>
          <c:order val="1"/>
          <c:tx>
            <c:v>RH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hr'!$C$3:$C$26</c:f>
              <c:numCache>
                <c:formatCode>General</c:formatCode>
                <c:ptCount val="24"/>
                <c:pt idx="0">
                  <c:v>91</c:v>
                </c:pt>
                <c:pt idx="1">
                  <c:v>92</c:v>
                </c:pt>
                <c:pt idx="2">
                  <c:v>95</c:v>
                </c:pt>
                <c:pt idx="3">
                  <c:v>96</c:v>
                </c:pt>
                <c:pt idx="4">
                  <c:v>97</c:v>
                </c:pt>
                <c:pt idx="5">
                  <c:v>94</c:v>
                </c:pt>
                <c:pt idx="6">
                  <c:v>83</c:v>
                </c:pt>
                <c:pt idx="7">
                  <c:v>68</c:v>
                </c:pt>
                <c:pt idx="8">
                  <c:v>63</c:v>
                </c:pt>
                <c:pt idx="9">
                  <c:v>58</c:v>
                </c:pt>
                <c:pt idx="10">
                  <c:v>48</c:v>
                </c:pt>
                <c:pt idx="11">
                  <c:v>43</c:v>
                </c:pt>
                <c:pt idx="12">
                  <c:v>41</c:v>
                </c:pt>
                <c:pt idx="13">
                  <c:v>38</c:v>
                </c:pt>
                <c:pt idx="14">
                  <c:v>45</c:v>
                </c:pt>
                <c:pt idx="15">
                  <c:v>48</c:v>
                </c:pt>
                <c:pt idx="16">
                  <c:v>60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77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DC-47AE-8239-8B6BF214B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41855"/>
        <c:axId val="1152778063"/>
      </c:scatterChart>
      <c:valAx>
        <c:axId val="1152741855"/>
        <c:scaling>
          <c:orientation val="minMax"/>
          <c:max val="2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 (00:00 ~ 24:00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152778063"/>
        <c:crosses val="autoZero"/>
        <c:crossBetween val="midCat"/>
      </c:valAx>
      <c:valAx>
        <c:axId val="1152778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Transpiration</a:t>
                </a:r>
                <a:r>
                  <a:rPr lang="en-US" altLang="zh-TW" baseline="0"/>
                  <a:t> rate, in mg/m2/s  and RH, %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1527418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002850105072409"/>
          <c:y val="9.8711419943981263E-2"/>
          <c:w val="0.17415871106180023"/>
          <c:h val="0.171184637595338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Tair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hr'!$B$3:$B$26</c:f>
              <c:numCache>
                <c:formatCode>General</c:formatCode>
                <c:ptCount val="24"/>
                <c:pt idx="0">
                  <c:v>11.8</c:v>
                </c:pt>
                <c:pt idx="1">
                  <c:v>11.4</c:v>
                </c:pt>
                <c:pt idx="2">
                  <c:v>10.3</c:v>
                </c:pt>
                <c:pt idx="3">
                  <c:v>9.6</c:v>
                </c:pt>
                <c:pt idx="4">
                  <c:v>10.1</c:v>
                </c:pt>
                <c:pt idx="5">
                  <c:v>11.2</c:v>
                </c:pt>
                <c:pt idx="6">
                  <c:v>13.1</c:v>
                </c:pt>
                <c:pt idx="7">
                  <c:v>15.9</c:v>
                </c:pt>
                <c:pt idx="8">
                  <c:v>18.3</c:v>
                </c:pt>
                <c:pt idx="9">
                  <c:v>19.3</c:v>
                </c:pt>
                <c:pt idx="10">
                  <c:v>20.3</c:v>
                </c:pt>
                <c:pt idx="11">
                  <c:v>21.4</c:v>
                </c:pt>
                <c:pt idx="12">
                  <c:v>21.6</c:v>
                </c:pt>
                <c:pt idx="13">
                  <c:v>21.4</c:v>
                </c:pt>
                <c:pt idx="14">
                  <c:v>21</c:v>
                </c:pt>
                <c:pt idx="15">
                  <c:v>21.7</c:v>
                </c:pt>
                <c:pt idx="16">
                  <c:v>19.600000000000001</c:v>
                </c:pt>
                <c:pt idx="17">
                  <c:v>18.3</c:v>
                </c:pt>
                <c:pt idx="18">
                  <c:v>17.5</c:v>
                </c:pt>
                <c:pt idx="19">
                  <c:v>16.899999999999999</c:v>
                </c:pt>
                <c:pt idx="20">
                  <c:v>16</c:v>
                </c:pt>
                <c:pt idx="21">
                  <c:v>15</c:v>
                </c:pt>
                <c:pt idx="22">
                  <c:v>14.9</c:v>
                </c:pt>
                <c:pt idx="23">
                  <c:v>14.8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33-45DB-AA05-1BF3BAEE3A70}"/>
            </c:ext>
          </c:extLst>
        </c:ser>
        <c:ser>
          <c:idx val="1"/>
          <c:order val="1"/>
          <c:tx>
            <c:v>RH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hr'!$C$3:$C$26</c:f>
              <c:numCache>
                <c:formatCode>General</c:formatCode>
                <c:ptCount val="24"/>
                <c:pt idx="0">
                  <c:v>91</c:v>
                </c:pt>
                <c:pt idx="1">
                  <c:v>92</c:v>
                </c:pt>
                <c:pt idx="2">
                  <c:v>95</c:v>
                </c:pt>
                <c:pt idx="3">
                  <c:v>96</c:v>
                </c:pt>
                <c:pt idx="4">
                  <c:v>97</c:v>
                </c:pt>
                <c:pt idx="5">
                  <c:v>94</c:v>
                </c:pt>
                <c:pt idx="6">
                  <c:v>83</c:v>
                </c:pt>
                <c:pt idx="7">
                  <c:v>68</c:v>
                </c:pt>
                <c:pt idx="8">
                  <c:v>63</c:v>
                </c:pt>
                <c:pt idx="9">
                  <c:v>58</c:v>
                </c:pt>
                <c:pt idx="10">
                  <c:v>48</c:v>
                </c:pt>
                <c:pt idx="11">
                  <c:v>43</c:v>
                </c:pt>
                <c:pt idx="12">
                  <c:v>41</c:v>
                </c:pt>
                <c:pt idx="13">
                  <c:v>38</c:v>
                </c:pt>
                <c:pt idx="14">
                  <c:v>45</c:v>
                </c:pt>
                <c:pt idx="15">
                  <c:v>48</c:v>
                </c:pt>
                <c:pt idx="16">
                  <c:v>60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77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33-45DB-AA05-1BF3BAEE3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41855"/>
        <c:axId val="1152778063"/>
      </c:scatterChart>
      <c:scatterChart>
        <c:scatterStyle val="lineMarker"/>
        <c:varyColors val="0"/>
        <c:ser>
          <c:idx val="2"/>
          <c:order val="2"/>
          <c:tx>
            <c:v>PAR (W/m2)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hr'!$G$4:$G$26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2.7777777777777777</c:v>
                </c:pt>
                <c:pt idx="4">
                  <c:v>61.111111111111114</c:v>
                </c:pt>
                <c:pt idx="5">
                  <c:v>183.33333333333334</c:v>
                </c:pt>
                <c:pt idx="6">
                  <c:v>461.11111111111109</c:v>
                </c:pt>
                <c:pt idx="7">
                  <c:v>658.33333333333337</c:v>
                </c:pt>
                <c:pt idx="8">
                  <c:v>813.88888888888891</c:v>
                </c:pt>
                <c:pt idx="9">
                  <c:v>858.33333333333337</c:v>
                </c:pt>
                <c:pt idx="10">
                  <c:v>908.33333333333337</c:v>
                </c:pt>
                <c:pt idx="11">
                  <c:v>855.55555555555554</c:v>
                </c:pt>
                <c:pt idx="12">
                  <c:v>772.22222222222217</c:v>
                </c:pt>
                <c:pt idx="13">
                  <c:v>569.44444444444434</c:v>
                </c:pt>
                <c:pt idx="14">
                  <c:v>444.44444444444446</c:v>
                </c:pt>
                <c:pt idx="15">
                  <c:v>286.11111111111109</c:v>
                </c:pt>
                <c:pt idx="16">
                  <c:v>102.77777777777777</c:v>
                </c:pt>
                <c:pt idx="17">
                  <c:v>5.5555555555555554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33-45DB-AA05-1BF3BAEE3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601503"/>
        <c:axId val="1304603167"/>
      </c:scatterChart>
      <c:valAx>
        <c:axId val="1152741855"/>
        <c:scaling>
          <c:orientation val="minMax"/>
          <c:max val="2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 (00:00 ~ 24:00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152778063"/>
        <c:crosses val="autoZero"/>
        <c:crossBetween val="midCat"/>
      </c:valAx>
      <c:valAx>
        <c:axId val="1152778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Tair in deg.C</a:t>
                </a:r>
                <a:r>
                  <a:rPr lang="en-US" altLang="zh-TW" baseline="0"/>
                  <a:t> and RH, %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152741855"/>
        <c:crosses val="autoZero"/>
        <c:crossBetween val="midCat"/>
      </c:valAx>
      <c:valAx>
        <c:axId val="130460316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304601503"/>
        <c:crosses val="max"/>
        <c:crossBetween val="midCat"/>
      </c:valAx>
      <c:valAx>
        <c:axId val="13046015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46031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047804428846026"/>
          <c:y val="0.15276691095607239"/>
          <c:w val="0.11246714622027965"/>
          <c:h val="0.1710601337262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788253803493471E-2"/>
          <c:y val="5.7442013232149543E-2"/>
          <c:w val="0.89345055303006926"/>
          <c:h val="0.73550174494415832"/>
        </c:manualLayout>
      </c:layout>
      <c:scatterChart>
        <c:scatterStyle val="lineMarker"/>
        <c:varyColors val="0"/>
        <c:ser>
          <c:idx val="0"/>
          <c:order val="1"/>
          <c:tx>
            <c:strRef>
              <c:f>'Chap16_24 hr'!$AE$2</c:f>
              <c:strCache>
                <c:ptCount val="1"/>
                <c:pt idx="0">
                  <c:v>PhotoRespiration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hr'!$AE$3:$AE$26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2.5706318973014331E-3</c:v>
                </c:pt>
                <c:pt idx="5">
                  <c:v>4.636656644761495E-2</c:v>
                </c:pt>
                <c:pt idx="6">
                  <c:v>0.10794711387014627</c:v>
                </c:pt>
                <c:pt idx="7">
                  <c:v>0.17376258345231491</c:v>
                </c:pt>
                <c:pt idx="8">
                  <c:v>0.2043328208517543</c:v>
                </c:pt>
                <c:pt idx="9">
                  <c:v>0.21666810566282715</c:v>
                </c:pt>
                <c:pt idx="10">
                  <c:v>0.22333209384906696</c:v>
                </c:pt>
                <c:pt idx="11">
                  <c:v>0.22947712960552002</c:v>
                </c:pt>
                <c:pt idx="12">
                  <c:v>0.228714205986431</c:v>
                </c:pt>
                <c:pt idx="13">
                  <c:v>0.2252318167575901</c:v>
                </c:pt>
                <c:pt idx="14">
                  <c:v>0.21403793306636648</c:v>
                </c:pt>
                <c:pt idx="15">
                  <c:v>0.20715092794602918</c:v>
                </c:pt>
                <c:pt idx="16">
                  <c:v>0.17690214123540715</c:v>
                </c:pt>
                <c:pt idx="17">
                  <c:v>0.10833926553330242</c:v>
                </c:pt>
                <c:pt idx="18">
                  <c:v>9.0978460105169655E-3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23-4A91-B485-4F1481DBC823}"/>
            </c:ext>
          </c:extLst>
        </c:ser>
        <c:ser>
          <c:idx val="1"/>
          <c:order val="2"/>
          <c:tx>
            <c:strRef>
              <c:f>'Chap16_24 hr'!$T$1</c:f>
              <c:strCache>
                <c:ptCount val="1"/>
                <c:pt idx="0">
                  <c:v>Dark Respiration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hr'!$T$3:$T$26</c:f>
              <c:numCache>
                <c:formatCode>0.0000</c:formatCode>
                <c:ptCount val="24"/>
                <c:pt idx="0">
                  <c:v>3.965093598535295E-2</c:v>
                </c:pt>
                <c:pt idx="1">
                  <c:v>3.8566679055681376E-2</c:v>
                </c:pt>
                <c:pt idx="2">
                  <c:v>3.5735424399751768E-2</c:v>
                </c:pt>
                <c:pt idx="3">
                  <c:v>3.404292315943E-2</c:v>
                </c:pt>
                <c:pt idx="4">
                  <c:v>3.5243444251985168E-2</c:v>
                </c:pt>
                <c:pt idx="5">
                  <c:v>3.8035720188412031E-2</c:v>
                </c:pt>
                <c:pt idx="6">
                  <c:v>4.3389769497864529E-2</c:v>
                </c:pt>
                <c:pt idx="7">
                  <c:v>5.2683636159387363E-2</c:v>
                </c:pt>
                <c:pt idx="8">
                  <c:v>6.2218987681659919E-2</c:v>
                </c:pt>
                <c:pt idx="9">
                  <c:v>6.6684659863075632E-2</c:v>
                </c:pt>
                <c:pt idx="10">
                  <c:v>7.1470848799503536E-2</c:v>
                </c:pt>
                <c:pt idx="11">
                  <c:v>7.7133358111362751E-2</c:v>
                </c:pt>
                <c:pt idx="12">
                  <c:v>7.8210099665055405E-2</c:v>
                </c:pt>
                <c:pt idx="13">
                  <c:v>7.7133358111362751E-2</c:v>
                </c:pt>
                <c:pt idx="14">
                  <c:v>7.5024142377540529E-2</c:v>
                </c:pt>
                <c:pt idx="15">
                  <c:v>7.8754093928216667E-2</c:v>
                </c:pt>
                <c:pt idx="16">
                  <c:v>6.8085846318859999E-2</c:v>
                </c:pt>
                <c:pt idx="17">
                  <c:v>6.2218987681659919E-2</c:v>
                </c:pt>
                <c:pt idx="18">
                  <c:v>5.8862749067760026E-2</c:v>
                </c:pt>
                <c:pt idx="19">
                  <c:v>5.6464923145548844E-2</c:v>
                </c:pt>
                <c:pt idx="20">
                  <c:v>5.3050079827863944E-2</c:v>
                </c:pt>
                <c:pt idx="21">
                  <c:v>4.9497474683058325E-2</c:v>
                </c:pt>
                <c:pt idx="22">
                  <c:v>4.9155570650829906E-2</c:v>
                </c:pt>
                <c:pt idx="23">
                  <c:v>4.8816028322264199E-2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D23-4A91-B485-4F1481DBC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41855"/>
        <c:axId val="1152778063"/>
      </c:scatterChart>
      <c:scatterChart>
        <c:scatterStyle val="lineMarker"/>
        <c:varyColors val="0"/>
        <c:ser>
          <c:idx val="3"/>
          <c:order val="0"/>
          <c:tx>
            <c:strRef>
              <c:f>'Chap16_24 hr'!$AC$2</c:f>
              <c:strCache>
                <c:ptCount val="1"/>
                <c:pt idx="0">
                  <c:v>Photosynthesis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hr'!$AC$3:$AC$26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7.7118956919042993E-3</c:v>
                </c:pt>
                <c:pt idx="5">
                  <c:v>0.13909969934284486</c:v>
                </c:pt>
                <c:pt idx="6">
                  <c:v>0.32384134161043882</c:v>
                </c:pt>
                <c:pt idx="7">
                  <c:v>0.52128775035694475</c:v>
                </c:pt>
                <c:pt idx="8">
                  <c:v>0.61299846255526291</c:v>
                </c:pt>
                <c:pt idx="9">
                  <c:v>0.65000431698848149</c:v>
                </c:pt>
                <c:pt idx="10">
                  <c:v>0.66999628154720092</c:v>
                </c:pt>
                <c:pt idx="11">
                  <c:v>0.68843138881656007</c:v>
                </c:pt>
                <c:pt idx="12">
                  <c:v>0.68614261795929299</c:v>
                </c:pt>
                <c:pt idx="13">
                  <c:v>0.67569545027277034</c:v>
                </c:pt>
                <c:pt idx="14">
                  <c:v>0.6421137991990995</c:v>
                </c:pt>
                <c:pt idx="15">
                  <c:v>0.62145278383808755</c:v>
                </c:pt>
                <c:pt idx="16">
                  <c:v>0.53070642370622145</c:v>
                </c:pt>
                <c:pt idx="17">
                  <c:v>0.32501779659990726</c:v>
                </c:pt>
                <c:pt idx="18">
                  <c:v>2.72935380315509E-2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23-4A91-B485-4F1481DBC823}"/>
            </c:ext>
          </c:extLst>
        </c:ser>
        <c:ser>
          <c:idx val="4"/>
          <c:order val="3"/>
          <c:tx>
            <c:v>Net Photosynthesis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hr'!$AF$3:$AF$26</c:f>
              <c:numCache>
                <c:formatCode>0.0000_ </c:formatCode>
                <c:ptCount val="24"/>
                <c:pt idx="0">
                  <c:v>-3.965093598535295E-2</c:v>
                </c:pt>
                <c:pt idx="1">
                  <c:v>-3.8566679055681376E-2</c:v>
                </c:pt>
                <c:pt idx="2">
                  <c:v>-3.5735424399751768E-2</c:v>
                </c:pt>
                <c:pt idx="3">
                  <c:v>-3.404292315943E-2</c:v>
                </c:pt>
                <c:pt idx="4">
                  <c:v>-3.0102180457382301E-2</c:v>
                </c:pt>
                <c:pt idx="5">
                  <c:v>5.4697412706817883E-2</c:v>
                </c:pt>
                <c:pt idx="6">
                  <c:v>0.17250445824242802</c:v>
                </c:pt>
                <c:pt idx="7">
                  <c:v>0.2948415307452425</c:v>
                </c:pt>
                <c:pt idx="8">
                  <c:v>0.34644665402184871</c:v>
                </c:pt>
                <c:pt idx="9">
                  <c:v>0.36665155146257872</c:v>
                </c:pt>
                <c:pt idx="10">
                  <c:v>0.37519333889863044</c:v>
                </c:pt>
                <c:pt idx="11">
                  <c:v>0.38182090109967731</c:v>
                </c:pt>
                <c:pt idx="12">
                  <c:v>0.37921831230780656</c:v>
                </c:pt>
                <c:pt idx="13">
                  <c:v>0.37333027540381752</c:v>
                </c:pt>
                <c:pt idx="14">
                  <c:v>0.3530517237551925</c:v>
                </c:pt>
                <c:pt idx="15">
                  <c:v>0.33554776196384173</c:v>
                </c:pt>
                <c:pt idx="16">
                  <c:v>0.2857184361519543</c:v>
                </c:pt>
                <c:pt idx="17">
                  <c:v>0.15445954338494491</c:v>
                </c:pt>
                <c:pt idx="18">
                  <c:v>-4.0667057046726088E-2</c:v>
                </c:pt>
                <c:pt idx="19">
                  <c:v>-5.6464923145548844E-2</c:v>
                </c:pt>
                <c:pt idx="20">
                  <c:v>-5.3050079827863944E-2</c:v>
                </c:pt>
                <c:pt idx="21">
                  <c:v>-4.9497474683058325E-2</c:v>
                </c:pt>
                <c:pt idx="22">
                  <c:v>-4.9155570650829906E-2</c:v>
                </c:pt>
                <c:pt idx="23">
                  <c:v>-4.8816028322264199E-2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D23-4A91-B485-4F1481DBC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4601503"/>
        <c:axId val="1304603167"/>
      </c:scatterChart>
      <c:valAx>
        <c:axId val="1152741855"/>
        <c:scaling>
          <c:orientation val="minMax"/>
          <c:max val="2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 (00:00 ~ 24:00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152778063"/>
        <c:crosses val="autoZero"/>
        <c:crossBetween val="midCat"/>
      </c:valAx>
      <c:valAx>
        <c:axId val="1152778063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Photosynthesis,</a:t>
                </a:r>
                <a:r>
                  <a:rPr lang="en-US" altLang="zh-TW" baseline="0"/>
                  <a:t> Darkrespiration, Respiration, </a:t>
                </a:r>
              </a:p>
              <a:p>
                <a:pPr>
                  <a:defRPr/>
                </a:pPr>
                <a:r>
                  <a:rPr lang="en-US" altLang="zh-TW" baseline="0"/>
                  <a:t>Net Photosynthesis rate</a:t>
                </a:r>
                <a:r>
                  <a:rPr lang="en-US" altLang="zh-TW"/>
                  <a:t> in mg/m2/s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152741855"/>
        <c:crosses val="autoZero"/>
        <c:crossBetween val="midCat"/>
      </c:valAx>
      <c:valAx>
        <c:axId val="1304603167"/>
        <c:scaling>
          <c:orientation val="minMax"/>
          <c:max val="0.70000000000000007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304601503"/>
        <c:crosses val="max"/>
        <c:crossBetween val="midCat"/>
      </c:valAx>
      <c:valAx>
        <c:axId val="13046015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46031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1"/>
  <c:style val="2"/>
  <c:chart>
    <c:autoTitleDeleted val="1"/>
    <c:plotArea>
      <c:layout>
        <c:manualLayout>
          <c:xMode val="edge"/>
          <c:yMode val="edge"/>
          <c:x val="0.11255205875290825"/>
          <c:y val="0.13377108718169797"/>
          <c:w val="0.85853018372703416"/>
          <c:h val="0.72088764946048411"/>
        </c:manualLayout>
      </c:layout>
      <c:scatterChart>
        <c:scatterStyle val="lineMarker"/>
        <c:varyColors val="1"/>
        <c:ser>
          <c:idx val="0"/>
          <c:order val="0"/>
          <c:tx>
            <c:v>std.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'Chap 4 Rlv'!$G$4:$G$28</c:f>
              <c:numCache>
                <c:formatCode>General</c:formatCode>
                <c:ptCount val="2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</c:numCache>
            </c:numRef>
          </c:xVal>
          <c:yVal>
            <c:numRef>
              <c:f>'Chap 4 Rlv'!$H$4:$H$28</c:f>
              <c:numCache>
                <c:formatCode>0.00</c:formatCode>
                <c:ptCount val="25"/>
                <c:pt idx="0">
                  <c:v>1200</c:v>
                </c:pt>
                <c:pt idx="1">
                  <c:v>1137.5</c:v>
                </c:pt>
                <c:pt idx="2">
                  <c:v>1075</c:v>
                </c:pt>
                <c:pt idx="3">
                  <c:v>1012.5</c:v>
                </c:pt>
                <c:pt idx="4">
                  <c:v>950</c:v>
                </c:pt>
                <c:pt idx="5">
                  <c:v>887.5</c:v>
                </c:pt>
                <c:pt idx="6">
                  <c:v>825</c:v>
                </c:pt>
                <c:pt idx="7">
                  <c:v>762.5</c:v>
                </c:pt>
                <c:pt idx="8">
                  <c:v>700</c:v>
                </c:pt>
                <c:pt idx="9">
                  <c:v>637.5</c:v>
                </c:pt>
                <c:pt idx="10">
                  <c:v>575</c:v>
                </c:pt>
                <c:pt idx="11">
                  <c:v>512.5</c:v>
                </c:pt>
                <c:pt idx="12">
                  <c:v>450</c:v>
                </c:pt>
                <c:pt idx="13">
                  <c:v>387.5</c:v>
                </c:pt>
                <c:pt idx="14">
                  <c:v>325</c:v>
                </c:pt>
                <c:pt idx="15">
                  <c:v>262.5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6A-4E5D-AF69-0A3C4585769B}"/>
            </c:ext>
          </c:extLst>
        </c:ser>
        <c:ser>
          <c:idx val="1"/>
          <c:order val="1"/>
          <c:tx>
            <c:v>high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'Chap 4 Rlv'!$G$4:$G$28</c:f>
              <c:numCache>
                <c:formatCode>General</c:formatCode>
                <c:ptCount val="2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</c:numCache>
            </c:numRef>
          </c:xVal>
          <c:yVal>
            <c:numRef>
              <c:f>'Chap 4 Rlv'!$I$4:$I$28</c:f>
              <c:numCache>
                <c:formatCode>0.00</c:formatCode>
                <c:ptCount val="25"/>
                <c:pt idx="0">
                  <c:v>1400</c:v>
                </c:pt>
                <c:pt idx="1">
                  <c:v>1331.25</c:v>
                </c:pt>
                <c:pt idx="2">
                  <c:v>1262.5</c:v>
                </c:pt>
                <c:pt idx="3">
                  <c:v>1193.75</c:v>
                </c:pt>
                <c:pt idx="4">
                  <c:v>1125</c:v>
                </c:pt>
                <c:pt idx="5">
                  <c:v>1056.25</c:v>
                </c:pt>
                <c:pt idx="6">
                  <c:v>987.5</c:v>
                </c:pt>
                <c:pt idx="7">
                  <c:v>918.75</c:v>
                </c:pt>
                <c:pt idx="8">
                  <c:v>850</c:v>
                </c:pt>
                <c:pt idx="9">
                  <c:v>781.25</c:v>
                </c:pt>
                <c:pt idx="10">
                  <c:v>712.5</c:v>
                </c:pt>
                <c:pt idx="11">
                  <c:v>643.75</c:v>
                </c:pt>
                <c:pt idx="12">
                  <c:v>575</c:v>
                </c:pt>
                <c:pt idx="13">
                  <c:v>506.25</c:v>
                </c:pt>
                <c:pt idx="14">
                  <c:v>437.5</c:v>
                </c:pt>
                <c:pt idx="15">
                  <c:v>368.75</c:v>
                </c:pt>
                <c:pt idx="16">
                  <c:v>300</c:v>
                </c:pt>
                <c:pt idx="17">
                  <c:v>300</c:v>
                </c:pt>
                <c:pt idx="18">
                  <c:v>300</c:v>
                </c:pt>
                <c:pt idx="19">
                  <c:v>300</c:v>
                </c:pt>
                <c:pt idx="20">
                  <c:v>300</c:v>
                </c:pt>
                <c:pt idx="21">
                  <c:v>300</c:v>
                </c:pt>
                <c:pt idx="22">
                  <c:v>300</c:v>
                </c:pt>
                <c:pt idx="23">
                  <c:v>300</c:v>
                </c:pt>
                <c:pt idx="24">
                  <c:v>300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6A-4E5D-AF69-0A3C4585769B}"/>
            </c:ext>
          </c:extLst>
        </c:ser>
        <c:ser>
          <c:idx val="2"/>
          <c:order val="2"/>
          <c:tx>
            <c:v>low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3"/>
              </a:solidFill>
              <a:ln cmpd="sng">
                <a:solidFill>
                  <a:schemeClr val="accent3"/>
                </a:solidFill>
              </a:ln>
            </c:spPr>
          </c:marker>
          <c:xVal>
            <c:numRef>
              <c:f>'Chap 4 Rlv'!$G$4:$G$28</c:f>
              <c:numCache>
                <c:formatCode>General</c:formatCode>
                <c:ptCount val="2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</c:numCache>
            </c:numRef>
          </c:xVal>
          <c:yVal>
            <c:numRef>
              <c:f>'Chap 4 Rlv'!$J$4:$J$28</c:f>
              <c:numCache>
                <c:formatCode>0.00</c:formatCode>
                <c:ptCount val="25"/>
                <c:pt idx="0">
                  <c:v>1000</c:v>
                </c:pt>
                <c:pt idx="1">
                  <c:v>943.75</c:v>
                </c:pt>
                <c:pt idx="2">
                  <c:v>887.5</c:v>
                </c:pt>
                <c:pt idx="3">
                  <c:v>831.25</c:v>
                </c:pt>
                <c:pt idx="4">
                  <c:v>775</c:v>
                </c:pt>
                <c:pt idx="5">
                  <c:v>718.75</c:v>
                </c:pt>
                <c:pt idx="6">
                  <c:v>662.5</c:v>
                </c:pt>
                <c:pt idx="7">
                  <c:v>606.25</c:v>
                </c:pt>
                <c:pt idx="8">
                  <c:v>550</c:v>
                </c:pt>
                <c:pt idx="9">
                  <c:v>493.75</c:v>
                </c:pt>
                <c:pt idx="10">
                  <c:v>437.5</c:v>
                </c:pt>
                <c:pt idx="11">
                  <c:v>381.25</c:v>
                </c:pt>
                <c:pt idx="12">
                  <c:v>325</c:v>
                </c:pt>
                <c:pt idx="13">
                  <c:v>268.75</c:v>
                </c:pt>
                <c:pt idx="14">
                  <c:v>212.5</c:v>
                </c:pt>
                <c:pt idx="15">
                  <c:v>156.25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6A-4E5D-AF69-0A3C4585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328330"/>
        <c:axId val="1520584449"/>
      </c:scatterChart>
      <c:valAx>
        <c:axId val="808328330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PAR (W/m2)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1520584449"/>
        <c:crosses val="autoZero"/>
        <c:crossBetween val="midCat"/>
      </c:valAx>
      <c:valAx>
        <c:axId val="152058444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Rlv(stomatal resistance, s/m)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80832833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3176217326146522"/>
          <c:y val="0.16755185859064595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zh-TW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1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Aerodynamic resistance, s/m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'Chap 5 Rav'!$F$4:$F$34</c:f>
              <c:numCache>
                <c:formatCode>General</c:formatCode>
                <c:ptCount val="3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</c:numCache>
            </c:numRef>
          </c:xVal>
          <c:yVal>
            <c:numRef>
              <c:f>'Chap 5 Rav'!$G$4:$G$34</c:f>
              <c:numCache>
                <c:formatCode>General</c:formatCode>
                <c:ptCount val="31"/>
                <c:pt idx="0">
                  <c:v>200</c:v>
                </c:pt>
                <c:pt idx="1">
                  <c:v>190</c:v>
                </c:pt>
                <c:pt idx="2">
                  <c:v>180</c:v>
                </c:pt>
                <c:pt idx="3">
                  <c:v>170</c:v>
                </c:pt>
                <c:pt idx="4">
                  <c:v>160</c:v>
                </c:pt>
                <c:pt idx="5">
                  <c:v>150</c:v>
                </c:pt>
                <c:pt idx="6">
                  <c:v>140</c:v>
                </c:pt>
                <c:pt idx="7">
                  <c:v>130</c:v>
                </c:pt>
                <c:pt idx="8">
                  <c:v>120</c:v>
                </c:pt>
                <c:pt idx="9">
                  <c:v>110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21-4B78-ADEF-3AE747AE4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154788"/>
        <c:axId val="118270291"/>
      </c:scatterChart>
      <c:valAx>
        <c:axId val="7115478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Wind velocity, m/s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118270291"/>
        <c:crosses val="autoZero"/>
        <c:crossBetween val="midCat"/>
      </c:valAx>
      <c:valAx>
        <c:axId val="11827029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Aerodynamic resistance, s/m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71154788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1"/>
  <c:style val="2"/>
  <c:chart>
    <c:autoTitleDeleted val="1"/>
    <c:plotArea>
      <c:layout>
        <c:manualLayout>
          <c:xMode val="edge"/>
          <c:yMode val="edge"/>
          <c:x val="0.18311304021410021"/>
          <c:y val="0.16537929200355073"/>
          <c:w val="0.76647025371828525"/>
          <c:h val="0.61748468941382328"/>
        </c:manualLayout>
      </c:layout>
      <c:scatterChart>
        <c:scatterStyle val="lineMarker"/>
        <c:varyColors val="1"/>
        <c:ser>
          <c:idx val="0"/>
          <c:order val="0"/>
          <c:tx>
            <c:v>Low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'Chap 6 Rlv inc.'!$I$3:$I$27</c:f>
              <c:numCache>
                <c:formatCode>0.0</c:formatCode>
                <c:ptCount val="25"/>
                <c:pt idx="0">
                  <c:v>0</c:v>
                </c:pt>
                <c:pt idx="1">
                  <c:v>180.00089999999997</c:v>
                </c:pt>
                <c:pt idx="2">
                  <c:v>360.00179999999995</c:v>
                </c:pt>
                <c:pt idx="3">
                  <c:v>540.0027</c:v>
                </c:pt>
                <c:pt idx="4">
                  <c:v>720.00359999999989</c:v>
                </c:pt>
                <c:pt idx="5">
                  <c:v>900.00449999999989</c:v>
                </c:pt>
                <c:pt idx="6">
                  <c:v>1080.0054</c:v>
                </c:pt>
                <c:pt idx="7">
                  <c:v>1260.0063</c:v>
                </c:pt>
                <c:pt idx="8">
                  <c:v>1440.0071999999998</c:v>
                </c:pt>
                <c:pt idx="9">
                  <c:v>1620.0081</c:v>
                </c:pt>
                <c:pt idx="10">
                  <c:v>1800.0089999999998</c:v>
                </c:pt>
                <c:pt idx="11">
                  <c:v>1980.0099</c:v>
                </c:pt>
                <c:pt idx="12">
                  <c:v>2160.0108</c:v>
                </c:pt>
                <c:pt idx="13">
                  <c:v>2340.0117</c:v>
                </c:pt>
                <c:pt idx="14">
                  <c:v>2520.0126</c:v>
                </c:pt>
                <c:pt idx="15">
                  <c:v>2700.0135</c:v>
                </c:pt>
                <c:pt idx="16">
                  <c:v>2880.0143999999996</c:v>
                </c:pt>
                <c:pt idx="17">
                  <c:v>3060.0153</c:v>
                </c:pt>
                <c:pt idx="18">
                  <c:v>3240.0162</c:v>
                </c:pt>
                <c:pt idx="19">
                  <c:v>3420.0170999999996</c:v>
                </c:pt>
                <c:pt idx="20">
                  <c:v>3600.0179999999996</c:v>
                </c:pt>
                <c:pt idx="21">
                  <c:v>3780.0189</c:v>
                </c:pt>
                <c:pt idx="22">
                  <c:v>3960.0198</c:v>
                </c:pt>
                <c:pt idx="23">
                  <c:v>4140.0206999999991</c:v>
                </c:pt>
                <c:pt idx="24">
                  <c:v>4320.0216</c:v>
                </c:pt>
              </c:numCache>
            </c:numRef>
          </c:xVal>
          <c:yVal>
            <c:numRef>
              <c:f>'Chap 6 Rlv inc.'!$K$3:$K$27</c:f>
              <c:numCache>
                <c:formatCode>0.0</c:formatCode>
                <c:ptCount val="25"/>
                <c:pt idx="0">
                  <c:v>0</c:v>
                </c:pt>
                <c:pt idx="1">
                  <c:v>16.666749999999997</c:v>
                </c:pt>
                <c:pt idx="2">
                  <c:v>33.333499999999994</c:v>
                </c:pt>
                <c:pt idx="3">
                  <c:v>50.000249999999994</c:v>
                </c:pt>
                <c:pt idx="4">
                  <c:v>66.666999999999987</c:v>
                </c:pt>
                <c:pt idx="5">
                  <c:v>83.333749999999981</c:v>
                </c:pt>
                <c:pt idx="6">
                  <c:v>100.00049999999999</c:v>
                </c:pt>
                <c:pt idx="7">
                  <c:v>116.66725</c:v>
                </c:pt>
                <c:pt idx="8">
                  <c:v>133.33399999999997</c:v>
                </c:pt>
                <c:pt idx="9">
                  <c:v>150.00074999999998</c:v>
                </c:pt>
                <c:pt idx="10">
                  <c:v>166.66749999999996</c:v>
                </c:pt>
                <c:pt idx="11">
                  <c:v>183.33425</c:v>
                </c:pt>
                <c:pt idx="12">
                  <c:v>200.00099999999998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  <c:pt idx="20">
                  <c:v>200</c:v>
                </c:pt>
                <c:pt idx="21">
                  <c:v>200</c:v>
                </c:pt>
                <c:pt idx="22">
                  <c:v>200</c:v>
                </c:pt>
                <c:pt idx="23">
                  <c:v>200</c:v>
                </c:pt>
                <c:pt idx="24">
                  <c:v>200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AC-44FD-A610-00CFBA164C50}"/>
            </c:ext>
          </c:extLst>
        </c:ser>
        <c:ser>
          <c:idx val="1"/>
          <c:order val="1"/>
          <c:tx>
            <c:v>Std.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'Chap 6 Rlv inc.'!$I$3:$I$27</c:f>
              <c:numCache>
                <c:formatCode>0.0</c:formatCode>
                <c:ptCount val="25"/>
                <c:pt idx="0">
                  <c:v>0</c:v>
                </c:pt>
                <c:pt idx="1">
                  <c:v>180.00089999999997</c:v>
                </c:pt>
                <c:pt idx="2">
                  <c:v>360.00179999999995</c:v>
                </c:pt>
                <c:pt idx="3">
                  <c:v>540.0027</c:v>
                </c:pt>
                <c:pt idx="4">
                  <c:v>720.00359999999989</c:v>
                </c:pt>
                <c:pt idx="5">
                  <c:v>900.00449999999989</c:v>
                </c:pt>
                <c:pt idx="6">
                  <c:v>1080.0054</c:v>
                </c:pt>
                <c:pt idx="7">
                  <c:v>1260.0063</c:v>
                </c:pt>
                <c:pt idx="8">
                  <c:v>1440.0071999999998</c:v>
                </c:pt>
                <c:pt idx="9">
                  <c:v>1620.0081</c:v>
                </c:pt>
                <c:pt idx="10">
                  <c:v>1800.0089999999998</c:v>
                </c:pt>
                <c:pt idx="11">
                  <c:v>1980.0099</c:v>
                </c:pt>
                <c:pt idx="12">
                  <c:v>2160.0108</c:v>
                </c:pt>
                <c:pt idx="13">
                  <c:v>2340.0117</c:v>
                </c:pt>
                <c:pt idx="14">
                  <c:v>2520.0126</c:v>
                </c:pt>
                <c:pt idx="15">
                  <c:v>2700.0135</c:v>
                </c:pt>
                <c:pt idx="16">
                  <c:v>2880.0143999999996</c:v>
                </c:pt>
                <c:pt idx="17">
                  <c:v>3060.0153</c:v>
                </c:pt>
                <c:pt idx="18">
                  <c:v>3240.0162</c:v>
                </c:pt>
                <c:pt idx="19">
                  <c:v>3420.0170999999996</c:v>
                </c:pt>
                <c:pt idx="20">
                  <c:v>3600.0179999999996</c:v>
                </c:pt>
                <c:pt idx="21">
                  <c:v>3780.0189</c:v>
                </c:pt>
                <c:pt idx="22">
                  <c:v>3960.0198</c:v>
                </c:pt>
                <c:pt idx="23">
                  <c:v>4140.0206999999991</c:v>
                </c:pt>
                <c:pt idx="24">
                  <c:v>4320.0216</c:v>
                </c:pt>
              </c:numCache>
            </c:numRef>
          </c:xVal>
          <c:yVal>
            <c:numRef>
              <c:f>'Chap 6 Rlv inc.'!$L$3:$L$27</c:f>
              <c:numCache>
                <c:formatCode>0.0</c:formatCode>
                <c:ptCount val="25"/>
                <c:pt idx="0">
                  <c:v>0</c:v>
                </c:pt>
                <c:pt idx="1">
                  <c:v>33.333499999999994</c:v>
                </c:pt>
                <c:pt idx="2">
                  <c:v>66.666999999999987</c:v>
                </c:pt>
                <c:pt idx="3">
                  <c:v>100.00049999999999</c:v>
                </c:pt>
                <c:pt idx="4">
                  <c:v>133.33399999999997</c:v>
                </c:pt>
                <c:pt idx="5">
                  <c:v>166.66749999999996</c:v>
                </c:pt>
                <c:pt idx="6">
                  <c:v>200.00099999999998</c:v>
                </c:pt>
                <c:pt idx="7">
                  <c:v>233.33449999999999</c:v>
                </c:pt>
                <c:pt idx="8">
                  <c:v>266.66799999999995</c:v>
                </c:pt>
                <c:pt idx="9">
                  <c:v>300.00149999999996</c:v>
                </c:pt>
                <c:pt idx="10">
                  <c:v>333.33499999999992</c:v>
                </c:pt>
                <c:pt idx="11">
                  <c:v>366.66849999999999</c:v>
                </c:pt>
                <c:pt idx="12">
                  <c:v>400.00199999999995</c:v>
                </c:pt>
                <c:pt idx="13">
                  <c:v>400</c:v>
                </c:pt>
                <c:pt idx="14">
                  <c:v>400</c:v>
                </c:pt>
                <c:pt idx="15">
                  <c:v>400</c:v>
                </c:pt>
                <c:pt idx="16">
                  <c:v>400</c:v>
                </c:pt>
                <c:pt idx="17">
                  <c:v>400</c:v>
                </c:pt>
                <c:pt idx="18">
                  <c:v>400</c:v>
                </c:pt>
                <c:pt idx="19">
                  <c:v>400</c:v>
                </c:pt>
                <c:pt idx="20">
                  <c:v>400</c:v>
                </c:pt>
                <c:pt idx="21">
                  <c:v>400</c:v>
                </c:pt>
                <c:pt idx="22">
                  <c:v>400</c:v>
                </c:pt>
                <c:pt idx="23">
                  <c:v>400</c:v>
                </c:pt>
                <c:pt idx="24">
                  <c:v>400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1AC-44FD-A610-00CFBA16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096429"/>
        <c:axId val="856429385"/>
      </c:scatterChart>
      <c:valAx>
        <c:axId val="1131096429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CO2 conc. (mg/m3) (25 </a:t>
                </a:r>
                <a:r>
                  <a:rPr lang="zh-TW" altLang="en-US" b="0">
                    <a:solidFill>
                      <a:srgbClr val="000000"/>
                    </a:solidFill>
                    <a:latin typeface="+mn-lt"/>
                  </a:rPr>
                  <a:t>度</a:t>
                </a:r>
                <a:r>
                  <a:rPr lang="en-US" altLang="zh-TW" b="0">
                    <a:solidFill>
                      <a:srgbClr val="000000"/>
                    </a:solidFill>
                    <a:latin typeface="+mn-lt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.43858959894248545"/>
              <c:y val="0.88030260953457384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856429385"/>
        <c:crosses val="autoZero"/>
        <c:crossBetween val="midCat"/>
      </c:valAx>
      <c:valAx>
        <c:axId val="85642938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stomatal resistance increase, s/m(25</a:t>
                </a:r>
                <a:r>
                  <a:rPr lang="zh-TW" altLang="en-US" b="0">
                    <a:solidFill>
                      <a:srgbClr val="000000"/>
                    </a:solidFill>
                    <a:latin typeface="+mn-lt"/>
                  </a:rPr>
                  <a:t>度</a:t>
                </a:r>
                <a:r>
                  <a:rPr lang="en-US" altLang="zh-TW" b="0">
                    <a:solidFill>
                      <a:srgbClr val="000000"/>
                    </a:solidFill>
                    <a:latin typeface="+mn-lt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4.4416666666666667E-2"/>
              <c:y val="0.16724518810148734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1131096429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98501713504769"/>
          <c:y val="0.29310800276705906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zh-TW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1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'Chap 9 GI'!$C$2:$C$22</c:f>
              <c:numCache>
                <c:formatCode>General</c:formatCode>
                <c:ptCount val="21"/>
                <c:pt idx="0">
                  <c:v>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275</c:v>
                </c:pt>
                <c:pt idx="5">
                  <c:v>340</c:v>
                </c:pt>
                <c:pt idx="6">
                  <c:v>405</c:v>
                </c:pt>
                <c:pt idx="7">
                  <c:v>470</c:v>
                </c:pt>
                <c:pt idx="8">
                  <c:v>535</c:v>
                </c:pt>
                <c:pt idx="9">
                  <c:v>600</c:v>
                </c:pt>
                <c:pt idx="10">
                  <c:v>665</c:v>
                </c:pt>
                <c:pt idx="11">
                  <c:v>730</c:v>
                </c:pt>
                <c:pt idx="12">
                  <c:v>795</c:v>
                </c:pt>
                <c:pt idx="13">
                  <c:v>860</c:v>
                </c:pt>
                <c:pt idx="14">
                  <c:v>925</c:v>
                </c:pt>
                <c:pt idx="15">
                  <c:v>990</c:v>
                </c:pt>
                <c:pt idx="16">
                  <c:v>1055</c:v>
                </c:pt>
                <c:pt idx="17">
                  <c:v>1120</c:v>
                </c:pt>
                <c:pt idx="18">
                  <c:v>1185</c:v>
                </c:pt>
                <c:pt idx="19">
                  <c:v>1250</c:v>
                </c:pt>
                <c:pt idx="20">
                  <c:v>1315</c:v>
                </c:pt>
              </c:numCache>
            </c:numRef>
          </c:xVal>
          <c:yVal>
            <c:numRef>
              <c:f>'Chap 9 GI'!$D$2:$D$22</c:f>
              <c:numCache>
                <c:formatCode>0.00</c:formatCode>
                <c:ptCount val="21"/>
                <c:pt idx="0">
                  <c:v>0</c:v>
                </c:pt>
                <c:pt idx="1">
                  <c:v>0.5</c:v>
                </c:pt>
                <c:pt idx="2">
                  <c:v>0.60000000000000009</c:v>
                </c:pt>
                <c:pt idx="3">
                  <c:v>0.66666666666666663</c:v>
                </c:pt>
                <c:pt idx="4">
                  <c:v>0.73333333333333328</c:v>
                </c:pt>
                <c:pt idx="5">
                  <c:v>0.77272727272727271</c:v>
                </c:pt>
                <c:pt idx="6">
                  <c:v>0.80198019801980203</c:v>
                </c:pt>
                <c:pt idx="7">
                  <c:v>0.82456140350877183</c:v>
                </c:pt>
                <c:pt idx="8">
                  <c:v>0.84251968503937003</c:v>
                </c:pt>
                <c:pt idx="9">
                  <c:v>0.8571428571428571</c:v>
                </c:pt>
                <c:pt idx="10">
                  <c:v>0.86928104575163401</c:v>
                </c:pt>
                <c:pt idx="11">
                  <c:v>0.87951807228915657</c:v>
                </c:pt>
                <c:pt idx="12">
                  <c:v>0.88826815642458101</c:v>
                </c:pt>
                <c:pt idx="13">
                  <c:v>0.89583333333333337</c:v>
                </c:pt>
                <c:pt idx="14">
                  <c:v>0.90243902439024393</c:v>
                </c:pt>
                <c:pt idx="15">
                  <c:v>0.90825688073394495</c:v>
                </c:pt>
                <c:pt idx="16">
                  <c:v>0.91341991341991335</c:v>
                </c:pt>
                <c:pt idx="17">
                  <c:v>0.91803278688524603</c:v>
                </c:pt>
                <c:pt idx="18">
                  <c:v>0.92217898832684819</c:v>
                </c:pt>
                <c:pt idx="19">
                  <c:v>0.92592592592592582</c:v>
                </c:pt>
                <c:pt idx="20">
                  <c:v>0.92932862190812726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DA-4949-B242-197DD2F91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302873"/>
        <c:axId val="465331430"/>
      </c:scatterChart>
      <c:valAx>
        <c:axId val="1704302873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PAR, W/m2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465331430"/>
        <c:crosses val="autoZero"/>
        <c:crossBetween val="midCat"/>
      </c:valAx>
      <c:valAx>
        <c:axId val="4653314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GI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1704302873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1"/>
  <c:style val="2"/>
  <c:chart>
    <c:autoTitleDeleted val="1"/>
    <c:plotArea>
      <c:layout>
        <c:manualLayout>
          <c:xMode val="edge"/>
          <c:yMode val="edge"/>
          <c:x val="0.1225592481086923"/>
          <c:y val="5.1919259801727846E-2"/>
          <c:w val="0.81485506407287323"/>
          <c:h val="0.78680789343636692"/>
        </c:manualLayout>
      </c:layout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'Chap 10 Gc'!$B$2:$B$90</c:f>
              <c:numCache>
                <c:formatCode>General</c:formatCode>
                <c:ptCount val="89"/>
                <c:pt idx="0">
                  <c:v>0</c:v>
                </c:pt>
                <c:pt idx="1">
                  <c:v>30</c:v>
                </c:pt>
                <c:pt idx="2">
                  <c:v>100</c:v>
                </c:pt>
                <c:pt idx="3" formatCode="0.0">
                  <c:v>200</c:v>
                </c:pt>
                <c:pt idx="4" formatCode="0.0">
                  <c:v>230</c:v>
                </c:pt>
                <c:pt idx="5" formatCode="0.0">
                  <c:v>260</c:v>
                </c:pt>
                <c:pt idx="6" formatCode="0.0">
                  <c:v>290</c:v>
                </c:pt>
                <c:pt idx="7" formatCode="0.0">
                  <c:v>320</c:v>
                </c:pt>
                <c:pt idx="8" formatCode="0.0">
                  <c:v>350</c:v>
                </c:pt>
                <c:pt idx="9" formatCode="0.0">
                  <c:v>380</c:v>
                </c:pt>
                <c:pt idx="10" formatCode="0.0">
                  <c:v>410</c:v>
                </c:pt>
                <c:pt idx="11" formatCode="0.0">
                  <c:v>440</c:v>
                </c:pt>
                <c:pt idx="12" formatCode="0.0">
                  <c:v>470</c:v>
                </c:pt>
                <c:pt idx="13" formatCode="0.0">
                  <c:v>500</c:v>
                </c:pt>
                <c:pt idx="14" formatCode="0.0">
                  <c:v>530</c:v>
                </c:pt>
                <c:pt idx="15" formatCode="0.0">
                  <c:v>560</c:v>
                </c:pt>
                <c:pt idx="16" formatCode="0.0">
                  <c:v>590</c:v>
                </c:pt>
                <c:pt idx="17" formatCode="0.0">
                  <c:v>620</c:v>
                </c:pt>
                <c:pt idx="18" formatCode="0.0">
                  <c:v>650</c:v>
                </c:pt>
                <c:pt idx="19" formatCode="0.0">
                  <c:v>680</c:v>
                </c:pt>
                <c:pt idx="20" formatCode="0.0">
                  <c:v>710</c:v>
                </c:pt>
                <c:pt idx="21" formatCode="0.0">
                  <c:v>740</c:v>
                </c:pt>
                <c:pt idx="22" formatCode="0.0">
                  <c:v>770</c:v>
                </c:pt>
                <c:pt idx="23" formatCode="0.0">
                  <c:v>800</c:v>
                </c:pt>
                <c:pt idx="24" formatCode="0.0">
                  <c:v>830</c:v>
                </c:pt>
                <c:pt idx="25" formatCode="0.0">
                  <c:v>860</c:v>
                </c:pt>
                <c:pt idx="26" formatCode="0.0">
                  <c:v>890</c:v>
                </c:pt>
                <c:pt idx="27" formatCode="0.0">
                  <c:v>920</c:v>
                </c:pt>
                <c:pt idx="28" formatCode="0.0">
                  <c:v>950</c:v>
                </c:pt>
                <c:pt idx="29" formatCode="0.0">
                  <c:v>980</c:v>
                </c:pt>
                <c:pt idx="30" formatCode="0.0">
                  <c:v>1010</c:v>
                </c:pt>
                <c:pt idx="31" formatCode="0.0">
                  <c:v>1040</c:v>
                </c:pt>
                <c:pt idx="32" formatCode="0.0">
                  <c:v>1070</c:v>
                </c:pt>
                <c:pt idx="33" formatCode="0.0">
                  <c:v>1100</c:v>
                </c:pt>
                <c:pt idx="34" formatCode="0.0">
                  <c:v>1130</c:v>
                </c:pt>
                <c:pt idx="35" formatCode="0.0">
                  <c:v>1160</c:v>
                </c:pt>
                <c:pt idx="36" formatCode="0.0">
                  <c:v>1190</c:v>
                </c:pt>
                <c:pt idx="37" formatCode="0.0">
                  <c:v>1220</c:v>
                </c:pt>
                <c:pt idx="38" formatCode="0.0">
                  <c:v>1250</c:v>
                </c:pt>
                <c:pt idx="39" formatCode="0.0">
                  <c:v>1280</c:v>
                </c:pt>
                <c:pt idx="40" formatCode="0.0">
                  <c:v>1310</c:v>
                </c:pt>
                <c:pt idx="41" formatCode="0.0">
                  <c:v>1340</c:v>
                </c:pt>
                <c:pt idx="42" formatCode="0.0">
                  <c:v>1370</c:v>
                </c:pt>
                <c:pt idx="43" formatCode="0.0">
                  <c:v>1400</c:v>
                </c:pt>
                <c:pt idx="44" formatCode="0.0">
                  <c:v>1430</c:v>
                </c:pt>
                <c:pt idx="45" formatCode="0.0">
                  <c:v>1460</c:v>
                </c:pt>
                <c:pt idx="46" formatCode="0.0">
                  <c:v>1490</c:v>
                </c:pt>
                <c:pt idx="47" formatCode="0.0">
                  <c:v>1520</c:v>
                </c:pt>
                <c:pt idx="48" formatCode="0.0">
                  <c:v>1550</c:v>
                </c:pt>
                <c:pt idx="49" formatCode="0.0">
                  <c:v>1580</c:v>
                </c:pt>
                <c:pt idx="50" formatCode="0.0">
                  <c:v>1610</c:v>
                </c:pt>
                <c:pt idx="51" formatCode="0.0">
                  <c:v>1640</c:v>
                </c:pt>
                <c:pt idx="52" formatCode="0.0">
                  <c:v>1670</c:v>
                </c:pt>
                <c:pt idx="53" formatCode="0.0">
                  <c:v>1700</c:v>
                </c:pt>
                <c:pt idx="54" formatCode="0.0">
                  <c:v>1730</c:v>
                </c:pt>
                <c:pt idx="55" formatCode="0.0">
                  <c:v>1760</c:v>
                </c:pt>
                <c:pt idx="56" formatCode="0.0">
                  <c:v>1790</c:v>
                </c:pt>
                <c:pt idx="57" formatCode="0.0">
                  <c:v>1820</c:v>
                </c:pt>
                <c:pt idx="58" formatCode="0.0">
                  <c:v>1850</c:v>
                </c:pt>
                <c:pt idx="59" formatCode="0.0">
                  <c:v>1880</c:v>
                </c:pt>
                <c:pt idx="60" formatCode="0.0">
                  <c:v>1910</c:v>
                </c:pt>
                <c:pt idx="61" formatCode="0.0">
                  <c:v>1940</c:v>
                </c:pt>
                <c:pt idx="62" formatCode="0.0">
                  <c:v>1970</c:v>
                </c:pt>
                <c:pt idx="63" formatCode="0.0">
                  <c:v>2000</c:v>
                </c:pt>
                <c:pt idx="64" formatCode="0.0">
                  <c:v>2030</c:v>
                </c:pt>
                <c:pt idx="65" formatCode="0.0">
                  <c:v>2060</c:v>
                </c:pt>
                <c:pt idx="66" formatCode="0.0">
                  <c:v>2090</c:v>
                </c:pt>
                <c:pt idx="67" formatCode="0.0">
                  <c:v>2120</c:v>
                </c:pt>
                <c:pt idx="68" formatCode="0.0">
                  <c:v>2150</c:v>
                </c:pt>
                <c:pt idx="69" formatCode="0.0">
                  <c:v>2180</c:v>
                </c:pt>
                <c:pt idx="70" formatCode="0.0">
                  <c:v>2210</c:v>
                </c:pt>
                <c:pt idx="71" formatCode="0.0">
                  <c:v>2240</c:v>
                </c:pt>
                <c:pt idx="72" formatCode="0.0">
                  <c:v>2270</c:v>
                </c:pt>
                <c:pt idx="73" formatCode="0.0">
                  <c:v>2300</c:v>
                </c:pt>
                <c:pt idx="74" formatCode="0.0">
                  <c:v>2330</c:v>
                </c:pt>
                <c:pt idx="75" formatCode="0.0">
                  <c:v>2360</c:v>
                </c:pt>
                <c:pt idx="76" formatCode="0.0">
                  <c:v>2390</c:v>
                </c:pt>
                <c:pt idx="77" formatCode="0.0">
                  <c:v>2420</c:v>
                </c:pt>
                <c:pt idx="78" formatCode="0.0">
                  <c:v>2450</c:v>
                </c:pt>
                <c:pt idx="79" formatCode="0.0">
                  <c:v>2480</c:v>
                </c:pt>
                <c:pt idx="80" formatCode="0.0">
                  <c:v>2510</c:v>
                </c:pt>
                <c:pt idx="81" formatCode="0.0">
                  <c:v>2540</c:v>
                </c:pt>
                <c:pt idx="82" formatCode="0.0">
                  <c:v>2570</c:v>
                </c:pt>
                <c:pt idx="83" formatCode="0.0">
                  <c:v>2600</c:v>
                </c:pt>
                <c:pt idx="84" formatCode="0.0">
                  <c:v>2630</c:v>
                </c:pt>
                <c:pt idx="85" formatCode="0.0">
                  <c:v>2660</c:v>
                </c:pt>
                <c:pt idx="86" formatCode="0.0">
                  <c:v>2690</c:v>
                </c:pt>
                <c:pt idx="87" formatCode="0.0">
                  <c:v>2720</c:v>
                </c:pt>
                <c:pt idx="88" formatCode="0.0">
                  <c:v>2750</c:v>
                </c:pt>
              </c:numCache>
            </c:numRef>
          </c:xVal>
          <c:yVal>
            <c:numRef>
              <c:f>'Chap 10 Gc'!$C$2:$C$90</c:f>
              <c:numCache>
                <c:formatCode>0.00</c:formatCode>
                <c:ptCount val="89"/>
                <c:pt idx="0" formatCode="General">
                  <c:v>0</c:v>
                </c:pt>
                <c:pt idx="1">
                  <c:v>6.3829787234042562E-2</c:v>
                </c:pt>
                <c:pt idx="2">
                  <c:v>0.18518518518518517</c:v>
                </c:pt>
                <c:pt idx="3">
                  <c:v>0.3125</c:v>
                </c:pt>
                <c:pt idx="4">
                  <c:v>0.34328358208955223</c:v>
                </c:pt>
                <c:pt idx="5">
                  <c:v>0.37142857142857139</c:v>
                </c:pt>
                <c:pt idx="6">
                  <c:v>0.39726027397260277</c:v>
                </c:pt>
                <c:pt idx="7">
                  <c:v>0.42105263157894735</c:v>
                </c:pt>
                <c:pt idx="8">
                  <c:v>0.44303797468354433</c:v>
                </c:pt>
                <c:pt idx="9">
                  <c:v>0.46341463414634143</c:v>
                </c:pt>
                <c:pt idx="10">
                  <c:v>0.4823529411764706</c:v>
                </c:pt>
                <c:pt idx="11">
                  <c:v>0.5</c:v>
                </c:pt>
                <c:pt idx="12">
                  <c:v>0.51648351648351642</c:v>
                </c:pt>
                <c:pt idx="13">
                  <c:v>0.53191489361702127</c:v>
                </c:pt>
                <c:pt idx="14">
                  <c:v>0.54639175257731953</c:v>
                </c:pt>
                <c:pt idx="15">
                  <c:v>0.56000000000000005</c:v>
                </c:pt>
                <c:pt idx="16">
                  <c:v>0.57281553398058249</c:v>
                </c:pt>
                <c:pt idx="17">
                  <c:v>0.58490566037735847</c:v>
                </c:pt>
                <c:pt idx="18">
                  <c:v>0.59633027522935778</c:v>
                </c:pt>
                <c:pt idx="19">
                  <c:v>0.60714285714285721</c:v>
                </c:pt>
                <c:pt idx="20">
                  <c:v>0.61739130434782608</c:v>
                </c:pt>
                <c:pt idx="21">
                  <c:v>0.6271186440677966</c:v>
                </c:pt>
                <c:pt idx="22">
                  <c:v>0.63636363636363635</c:v>
                </c:pt>
                <c:pt idx="23">
                  <c:v>0.64516129032258063</c:v>
                </c:pt>
                <c:pt idx="24">
                  <c:v>0.65354330708661423</c:v>
                </c:pt>
                <c:pt idx="25">
                  <c:v>0.66153846153846152</c:v>
                </c:pt>
                <c:pt idx="26">
                  <c:v>0.66917293233082709</c:v>
                </c:pt>
                <c:pt idx="27">
                  <c:v>0.67647058823529416</c:v>
                </c:pt>
                <c:pt idx="28">
                  <c:v>0.68345323741007191</c:v>
                </c:pt>
                <c:pt idx="29">
                  <c:v>0.6901408450704225</c:v>
                </c:pt>
                <c:pt idx="30">
                  <c:v>0.69655172413793109</c:v>
                </c:pt>
                <c:pt idx="31">
                  <c:v>0.70270270270270263</c:v>
                </c:pt>
                <c:pt idx="32">
                  <c:v>0.70860927152317876</c:v>
                </c:pt>
                <c:pt idx="33">
                  <c:v>0.7142857142857143</c:v>
                </c:pt>
                <c:pt idx="34">
                  <c:v>0.71974522292993637</c:v>
                </c:pt>
                <c:pt idx="35">
                  <c:v>0.72499999999999998</c:v>
                </c:pt>
                <c:pt idx="36">
                  <c:v>0.73006134969325154</c:v>
                </c:pt>
                <c:pt idx="37">
                  <c:v>0.73493975903614461</c:v>
                </c:pt>
                <c:pt idx="38">
                  <c:v>0.7396449704142013</c:v>
                </c:pt>
                <c:pt idx="39">
                  <c:v>0.7441860465116279</c:v>
                </c:pt>
                <c:pt idx="40">
                  <c:v>0.74857142857142855</c:v>
                </c:pt>
                <c:pt idx="41">
                  <c:v>0.7528089887640449</c:v>
                </c:pt>
                <c:pt idx="42">
                  <c:v>0.75690607734806625</c:v>
                </c:pt>
                <c:pt idx="43">
                  <c:v>0.76086956521739135</c:v>
                </c:pt>
                <c:pt idx="44">
                  <c:v>0.76470588235294112</c:v>
                </c:pt>
                <c:pt idx="45">
                  <c:v>0.768421052631579</c:v>
                </c:pt>
                <c:pt idx="46">
                  <c:v>0.772020725388601</c:v>
                </c:pt>
                <c:pt idx="47">
                  <c:v>0.77551020408163263</c:v>
                </c:pt>
                <c:pt idx="48">
                  <c:v>0.77889447236180898</c:v>
                </c:pt>
                <c:pt idx="49">
                  <c:v>0.78217821782178221</c:v>
                </c:pt>
                <c:pt idx="50">
                  <c:v>0.78536585365853651</c:v>
                </c:pt>
                <c:pt idx="51">
                  <c:v>0.78846153846153844</c:v>
                </c:pt>
                <c:pt idx="52">
                  <c:v>0.79146919431279616</c:v>
                </c:pt>
                <c:pt idx="53">
                  <c:v>0.79439252336448596</c:v>
                </c:pt>
                <c:pt idx="54">
                  <c:v>0.79723502304147464</c:v>
                </c:pt>
                <c:pt idx="55">
                  <c:v>0.8</c:v>
                </c:pt>
                <c:pt idx="56">
                  <c:v>0.80269058295964124</c:v>
                </c:pt>
                <c:pt idx="57">
                  <c:v>0.80530973451327437</c:v>
                </c:pt>
                <c:pt idx="58">
                  <c:v>0.80786026200873362</c:v>
                </c:pt>
                <c:pt idx="59">
                  <c:v>0.81034482758620685</c:v>
                </c:pt>
                <c:pt idx="60">
                  <c:v>0.81276595744680846</c:v>
                </c:pt>
                <c:pt idx="61">
                  <c:v>0.81512605042016806</c:v>
                </c:pt>
                <c:pt idx="62">
                  <c:v>0.81742738589211617</c:v>
                </c:pt>
                <c:pt idx="63">
                  <c:v>0.81967213114754101</c:v>
                </c:pt>
                <c:pt idx="64">
                  <c:v>0.82186234817813764</c:v>
                </c:pt>
                <c:pt idx="65">
                  <c:v>0.82400000000000007</c:v>
                </c:pt>
                <c:pt idx="66">
                  <c:v>0.82608695652173914</c:v>
                </c:pt>
                <c:pt idx="67">
                  <c:v>0.828125</c:v>
                </c:pt>
                <c:pt idx="68">
                  <c:v>0.83011583011583012</c:v>
                </c:pt>
                <c:pt idx="69">
                  <c:v>0.83206106870229002</c:v>
                </c:pt>
                <c:pt idx="70">
                  <c:v>0.83396226415094343</c:v>
                </c:pt>
                <c:pt idx="71">
                  <c:v>0.83582089552238803</c:v>
                </c:pt>
                <c:pt idx="72">
                  <c:v>0.83763837638376382</c:v>
                </c:pt>
                <c:pt idx="73">
                  <c:v>0.83941605839416056</c:v>
                </c:pt>
                <c:pt idx="74">
                  <c:v>0.84115523465703967</c:v>
                </c:pt>
                <c:pt idx="75">
                  <c:v>0.84285714285714286</c:v>
                </c:pt>
                <c:pt idx="76">
                  <c:v>0.84452296819787986</c:v>
                </c:pt>
                <c:pt idx="77">
                  <c:v>0.84615384615384615</c:v>
                </c:pt>
                <c:pt idx="78">
                  <c:v>0.84775086505190311</c:v>
                </c:pt>
                <c:pt idx="79">
                  <c:v>0.84931506849315064</c:v>
                </c:pt>
                <c:pt idx="80">
                  <c:v>0.85084745762711855</c:v>
                </c:pt>
                <c:pt idx="81">
                  <c:v>0.85234899328859071</c:v>
                </c:pt>
                <c:pt idx="82">
                  <c:v>0.85382059800664445</c:v>
                </c:pt>
                <c:pt idx="83">
                  <c:v>0.85526315789473684</c:v>
                </c:pt>
                <c:pt idx="84">
                  <c:v>0.85667752442996736</c:v>
                </c:pt>
                <c:pt idx="85">
                  <c:v>0.85806451612903234</c:v>
                </c:pt>
                <c:pt idx="86">
                  <c:v>0.85942492012779548</c:v>
                </c:pt>
                <c:pt idx="87">
                  <c:v>0.860759493670886</c:v>
                </c:pt>
                <c:pt idx="88">
                  <c:v>0.86206896551724144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A5-4472-851A-FB54572C4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0344966"/>
        <c:axId val="1351394886"/>
      </c:scatterChart>
      <c:valAx>
        <c:axId val="164034496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CO2 conc., </a:t>
                </a:r>
                <a:r>
                  <a:rPr lang="el-GR" b="0">
                    <a:solidFill>
                      <a:srgbClr val="000000"/>
                    </a:solidFill>
                    <a:latin typeface="+mn-lt"/>
                  </a:rPr>
                  <a:t>ρ</a:t>
                </a: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cc, mg/m3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1351394886"/>
        <c:crosses val="autoZero"/>
        <c:crossBetween val="midCat"/>
      </c:valAx>
      <c:valAx>
        <c:axId val="135139488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GC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1640344966"/>
        <c:crosses val="autoZero"/>
        <c:crossBetween val="midCat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1"/>
  <c:style val="2"/>
  <c:chart>
    <c:autoTitleDeleted val="1"/>
    <c:plotArea>
      <c:layout>
        <c:manualLayout>
          <c:xMode val="edge"/>
          <c:yMode val="edge"/>
          <c:x val="0.10320649947658277"/>
          <c:y val="0.125"/>
          <c:w val="0.50228684399497758"/>
          <c:h val="0.71996172353455823"/>
        </c:manualLayout>
      </c:layout>
      <c:scatterChart>
        <c:scatterStyle val="lineMarker"/>
        <c:varyColors val="1"/>
        <c:ser>
          <c:idx val="0"/>
          <c:order val="0"/>
          <c:tx>
            <c:v>Plan A base on a=5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'Chap 11 GTI'!$B$2:$B$10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xVal>
          <c:yVal>
            <c:numRef>
              <c:f>'Chap 11 GTI'!$F$2:$F$10</c:f>
              <c:numCache>
                <c:formatCode>0.000</c:formatCode>
                <c:ptCount val="9"/>
                <c:pt idx="0">
                  <c:v>5.4783950617283951E-2</c:v>
                </c:pt>
                <c:pt idx="1">
                  <c:v>0.20987654320987653</c:v>
                </c:pt>
                <c:pt idx="2">
                  <c:v>0.4375</c:v>
                </c:pt>
                <c:pt idx="3">
                  <c:v>0.69135802469135799</c:v>
                </c:pt>
                <c:pt idx="4">
                  <c:v>0.90663580246913578</c:v>
                </c:pt>
                <c:pt idx="5">
                  <c:v>1</c:v>
                </c:pt>
                <c:pt idx="6">
                  <c:v>0.8695987654320988</c:v>
                </c:pt>
                <c:pt idx="7">
                  <c:v>0.39506172839506171</c:v>
                </c:pt>
                <c:pt idx="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11-467F-B4D6-B2B4A28D50BF}"/>
            </c:ext>
          </c:extLst>
        </c:ser>
        <c:ser>
          <c:idx val="1"/>
          <c:order val="1"/>
          <c:tx>
            <c:v>Plan A base on a=10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cmpd="sng">
                <a:solidFill>
                  <a:schemeClr val="accent2"/>
                </a:solidFill>
              </a:ln>
            </c:spPr>
          </c:marker>
          <c:xVal>
            <c:numRef>
              <c:f>'Chap 11 GTI'!$B$2:$B$10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xVal>
          <c:yVal>
            <c:numRef>
              <c:f>'Chap 11 GTI'!$F$11:$F$19</c:f>
              <c:numCache>
                <c:formatCode>0.000</c:formatCode>
                <c:ptCount val="9"/>
                <c:pt idx="0">
                  <c:v>0.15660141607663475</c:v>
                </c:pt>
                <c:pt idx="1">
                  <c:v>0.33361099541857558</c:v>
                </c:pt>
                <c:pt idx="2">
                  <c:v>0.54643898375676803</c:v>
                </c:pt>
                <c:pt idx="3">
                  <c:v>0.76009995835068722</c:v>
                </c:pt>
                <c:pt idx="4">
                  <c:v>0.929612661391087</c:v>
                </c:pt>
                <c:pt idx="5">
                  <c:v>1</c:v>
                </c:pt>
                <c:pt idx="6">
                  <c:v>0.90628904623073714</c:v>
                </c:pt>
                <c:pt idx="7">
                  <c:v>0.57351103706788842</c:v>
                </c:pt>
                <c:pt idx="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11-467F-B4D6-B2B4A28D5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5218204"/>
        <c:axId val="106235"/>
      </c:scatterChart>
      <c:valAx>
        <c:axId val="1955218204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Leaf temp. Tl ,℃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106235"/>
        <c:crosses val="autoZero"/>
        <c:crossBetween val="midCat"/>
      </c:valAx>
      <c:valAx>
        <c:axId val="10623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0">
                    <a:solidFill>
                      <a:srgbClr val="000000"/>
                    </a:solidFill>
                    <a:latin typeface="+mn-lt"/>
                  </a:rPr>
                  <a:t>Temp. coefficient, GTl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zh-TW"/>
          </a:p>
        </c:txPr>
        <c:crossAx val="19552182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7958031646632988"/>
          <c:y val="7.928186060075823E-2"/>
        </c:manualLayout>
      </c:layout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zh-TW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Kpr C3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'Chap 13 Kpr'!$J$5:$J$18</c:f>
              <c:numCache>
                <c:formatCode>0</c:formatCode>
                <c:ptCount val="14"/>
                <c:pt idx="0">
                  <c:v>0</c:v>
                </c:pt>
                <c:pt idx="1">
                  <c:v>196.47321428571431</c:v>
                </c:pt>
                <c:pt idx="2">
                  <c:v>392.94642857142861</c:v>
                </c:pt>
                <c:pt idx="3">
                  <c:v>589.41964285714289</c:v>
                </c:pt>
                <c:pt idx="4">
                  <c:v>785.89285714285722</c:v>
                </c:pt>
                <c:pt idx="5">
                  <c:v>982.36607142857144</c:v>
                </c:pt>
                <c:pt idx="6">
                  <c:v>1178.8392857142858</c:v>
                </c:pt>
                <c:pt idx="7">
                  <c:v>1375.3125</c:v>
                </c:pt>
                <c:pt idx="8">
                  <c:v>1571.7857142857144</c:v>
                </c:pt>
                <c:pt idx="9">
                  <c:v>1768.2589285714287</c:v>
                </c:pt>
                <c:pt idx="10">
                  <c:v>1964.7321428571429</c:v>
                </c:pt>
                <c:pt idx="11">
                  <c:v>2161.2053571428573</c:v>
                </c:pt>
                <c:pt idx="12">
                  <c:v>2357.6785714285716</c:v>
                </c:pt>
                <c:pt idx="13">
                  <c:v>2554.1517857142858</c:v>
                </c:pt>
              </c:numCache>
            </c:numRef>
          </c:xVal>
          <c:yVal>
            <c:numRef>
              <c:f>'Chap 13 Kpr'!$K$5:$K$18</c:f>
              <c:numCache>
                <c:formatCode>0.00</c:formatCode>
                <c:ptCount val="14"/>
                <c:pt idx="0">
                  <c:v>0.5</c:v>
                </c:pt>
                <c:pt idx="1">
                  <c:v>0.45823273505830903</c:v>
                </c:pt>
                <c:pt idx="2">
                  <c:v>0.41646547011661805</c:v>
                </c:pt>
                <c:pt idx="3">
                  <c:v>0.37469820517492708</c:v>
                </c:pt>
                <c:pt idx="4">
                  <c:v>0.33293094023323611</c:v>
                </c:pt>
                <c:pt idx="5">
                  <c:v>0.29116367529154513</c:v>
                </c:pt>
                <c:pt idx="6">
                  <c:v>0.24939641034985421</c:v>
                </c:pt>
                <c:pt idx="7">
                  <c:v>0.20762914540816327</c:v>
                </c:pt>
                <c:pt idx="8">
                  <c:v>0.16586188046647227</c:v>
                </c:pt>
                <c:pt idx="9">
                  <c:v>0.12409461552478132</c:v>
                </c:pt>
                <c:pt idx="10">
                  <c:v>8.2327350583090375E-2</c:v>
                </c:pt>
                <c:pt idx="11">
                  <c:v>4.0560085641399374E-2</c:v>
                </c:pt>
                <c:pt idx="12">
                  <c:v>0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6D-4A47-8B74-55A8C15CD6DD}"/>
            </c:ext>
          </c:extLst>
        </c:ser>
        <c:ser>
          <c:idx val="1"/>
          <c:order val="1"/>
          <c:tx>
            <c:v>Kpr C4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'Chap 13 Kpr'!$J$5:$J$18</c:f>
              <c:numCache>
                <c:formatCode>0</c:formatCode>
                <c:ptCount val="14"/>
                <c:pt idx="0">
                  <c:v>0</c:v>
                </c:pt>
                <c:pt idx="1">
                  <c:v>196.47321428571431</c:v>
                </c:pt>
                <c:pt idx="2">
                  <c:v>392.94642857142861</c:v>
                </c:pt>
                <c:pt idx="3">
                  <c:v>589.41964285714289</c:v>
                </c:pt>
                <c:pt idx="4">
                  <c:v>785.89285714285722</c:v>
                </c:pt>
                <c:pt idx="5">
                  <c:v>982.36607142857144</c:v>
                </c:pt>
                <c:pt idx="6">
                  <c:v>1178.8392857142858</c:v>
                </c:pt>
                <c:pt idx="7">
                  <c:v>1375.3125</c:v>
                </c:pt>
                <c:pt idx="8">
                  <c:v>1571.7857142857144</c:v>
                </c:pt>
                <c:pt idx="9">
                  <c:v>1768.2589285714287</c:v>
                </c:pt>
                <c:pt idx="10">
                  <c:v>1964.7321428571429</c:v>
                </c:pt>
                <c:pt idx="11">
                  <c:v>2161.2053571428573</c:v>
                </c:pt>
                <c:pt idx="12">
                  <c:v>2357.6785714285716</c:v>
                </c:pt>
                <c:pt idx="13">
                  <c:v>2554.1517857142858</c:v>
                </c:pt>
              </c:numCache>
            </c:numRef>
          </c:xVal>
          <c:yVal>
            <c:numRef>
              <c:f>'Chap 13 Kpr'!$L$5:$L$18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6D-4A47-8B74-55A8C15CD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859983"/>
        <c:axId val="1256814687"/>
      </c:scatterChart>
      <c:valAx>
        <c:axId val="1309859983"/>
        <c:scaling>
          <c:orientation val="minMax"/>
          <c:max val="26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CO2</a:t>
                </a:r>
                <a:r>
                  <a:rPr lang="en-US" altLang="zh-TW" baseline="0"/>
                  <a:t> Conc mg/m3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256814687"/>
        <c:crosses val="autoZero"/>
        <c:crossBetween val="midCat"/>
      </c:valAx>
      <c:valAx>
        <c:axId val="1256814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Kpr</a:t>
                </a:r>
                <a:endParaRPr lang="zh-TW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3098599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Rd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'Chap14 Rd'!$G$5:$G$13</c:f>
              <c:numCache>
                <c:formatCode>0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</c:numCache>
            </c:numRef>
          </c:xVal>
          <c:yVal>
            <c:numRef>
              <c:f>'Chap14 Rd'!$H$5:$H$13</c:f>
              <c:numCache>
                <c:formatCode>0.00</c:formatCode>
                <c:ptCount val="9"/>
                <c:pt idx="0">
                  <c:v>1.7500000000000002E-2</c:v>
                </c:pt>
                <c:pt idx="1">
                  <c:v>2.4748737341529166E-2</c:v>
                </c:pt>
                <c:pt idx="2">
                  <c:v>3.5000000000000003E-2</c:v>
                </c:pt>
                <c:pt idx="3">
                  <c:v>4.9497474683058325E-2</c:v>
                </c:pt>
                <c:pt idx="4">
                  <c:v>7.0000000000000007E-2</c:v>
                </c:pt>
                <c:pt idx="5">
                  <c:v>9.8994949366116664E-2</c:v>
                </c:pt>
                <c:pt idx="6">
                  <c:v>0.14000000000000001</c:v>
                </c:pt>
                <c:pt idx="7">
                  <c:v>0.1979898987322333</c:v>
                </c:pt>
                <c:pt idx="8">
                  <c:v>0.28000000000000003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D8-4322-B726-7A2F8AC9D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818976"/>
        <c:axId val="1846570768"/>
      </c:scatterChart>
      <c:valAx>
        <c:axId val="1839818976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100"/>
                  <a:t>Temp.</a:t>
                </a:r>
                <a:r>
                  <a:rPr lang="en-US" altLang="zh-TW" sz="1100" baseline="0"/>
                  <a:t> (</a:t>
                </a:r>
                <a:r>
                  <a:rPr lang="en-US" altLang="zh-TW" sz="1100" baseline="0">
                    <a:latin typeface="標楷體" panose="03000509000000000000" pitchFamily="65" charset="-120"/>
                    <a:ea typeface="標楷體" panose="03000509000000000000" pitchFamily="65" charset="-120"/>
                  </a:rPr>
                  <a:t>℃</a:t>
                </a:r>
                <a:r>
                  <a:rPr lang="en-US" altLang="zh-TW" sz="1100" baseline="0"/>
                  <a:t>)</a:t>
                </a:r>
                <a:endParaRPr lang="zh-TW" altLang="en-US" sz="1100"/>
              </a:p>
            </c:rich>
          </c:tx>
          <c:layout>
            <c:manualLayout>
              <c:xMode val="edge"/>
              <c:yMode val="edge"/>
              <c:x val="0.47462379702537194"/>
              <c:y val="0.874953703703703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846570768"/>
        <c:crosses val="autoZero"/>
        <c:crossBetween val="midCat"/>
      </c:valAx>
      <c:valAx>
        <c:axId val="184657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 sz="1100"/>
                  <a:t>Rd</a:t>
                </a:r>
                <a:r>
                  <a:rPr lang="en-US" altLang="zh-TW" sz="1100" baseline="0"/>
                  <a:t> (mg/m</a:t>
                </a:r>
                <a:r>
                  <a:rPr lang="en-US" altLang="zh-TW" sz="1100" baseline="30000"/>
                  <a:t>2</a:t>
                </a:r>
                <a:r>
                  <a:rPr lang="en-US" altLang="zh-TW" sz="1100" baseline="0"/>
                  <a:t>s)</a:t>
                </a:r>
                <a:endParaRPr lang="zh-TW" altLang="en-US" sz="1100"/>
              </a:p>
            </c:rich>
          </c:tx>
          <c:layout>
            <c:manualLayout>
              <c:xMode val="edge"/>
              <c:yMode val="edge"/>
              <c:x val="1.3888888888888888E-2"/>
              <c:y val="0.342191601049868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839818976"/>
        <c:crosses val="autoZero"/>
        <c:crossBetween val="midCat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image" Target="../media/image28.png"/><Relationship Id="rId4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3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4" Type="http://schemas.openxmlformats.org/officeDocument/2006/relationships/image" Target="../media/image4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7" Type="http://schemas.openxmlformats.org/officeDocument/2006/relationships/image" Target="../media/image53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chart" Target="../charts/chart2.xml"/><Relationship Id="rId4" Type="http://schemas.openxmlformats.org/officeDocument/2006/relationships/image" Target="../media/image4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438150</xdr:colOff>
      <xdr:row>20</xdr:row>
      <xdr:rowOff>146050</xdr:rowOff>
    </xdr:from>
    <xdr:ext cx="3860800" cy="1997075"/>
    <xdr:graphicFrame macro="">
      <xdr:nvGraphicFramePr>
        <xdr:cNvPr id="718656534" name="Chart 1">
          <a:extLst>
            <a:ext uri="{FF2B5EF4-FFF2-40B4-BE49-F238E27FC236}">
              <a16:creationId xmlns:a16="http://schemas.microsoft.com/office/drawing/2014/main" id="{00000000-0008-0000-0000-000016D4D5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231775</xdr:colOff>
      <xdr:row>6</xdr:row>
      <xdr:rowOff>41275</xdr:rowOff>
    </xdr:from>
    <xdr:ext cx="3298825" cy="3679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0875" y="1514475"/>
          <a:ext cx="3298825" cy="367982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476250</xdr:colOff>
      <xdr:row>24</xdr:row>
      <xdr:rowOff>12134</xdr:rowOff>
    </xdr:from>
    <xdr:to>
      <xdr:col>15</xdr:col>
      <xdr:colOff>141813</xdr:colOff>
      <xdr:row>28</xdr:row>
      <xdr:rowOff>60310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ED0CAB5C-BBAA-4400-AE3C-902F5A62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62600" y="5146109"/>
          <a:ext cx="6352113" cy="84827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30</xdr:row>
      <xdr:rowOff>46725</xdr:rowOff>
    </xdr:from>
    <xdr:to>
      <xdr:col>9</xdr:col>
      <xdr:colOff>694425</xdr:colOff>
      <xdr:row>35</xdr:row>
      <xdr:rowOff>38326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83BE8F5-DFAE-4B6F-B02F-C7B5C70D7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6438000"/>
          <a:ext cx="7200000" cy="99172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34</xdr:row>
      <xdr:rowOff>173860</xdr:rowOff>
    </xdr:from>
    <xdr:to>
      <xdr:col>9</xdr:col>
      <xdr:colOff>684900</xdr:colOff>
      <xdr:row>38</xdr:row>
      <xdr:rowOff>49441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C1A3D276-9D01-4F7D-A90D-D5CA60FC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7403335"/>
          <a:ext cx="7200000" cy="67568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37</xdr:row>
      <xdr:rowOff>207290</xdr:rowOff>
    </xdr:from>
    <xdr:to>
      <xdr:col>9</xdr:col>
      <xdr:colOff>675375</xdr:colOff>
      <xdr:row>41</xdr:row>
      <xdr:rowOff>98775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5048A70A-352C-4FBE-AF55-A3F025AB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8065415"/>
          <a:ext cx="7200000" cy="70111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41</xdr:row>
      <xdr:rowOff>64321</xdr:rowOff>
    </xdr:from>
    <xdr:to>
      <xdr:col>9</xdr:col>
      <xdr:colOff>684900</xdr:colOff>
      <xdr:row>44</xdr:row>
      <xdr:rowOff>193764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33359E3C-F072-4BE0-8C33-62796298C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" y="8760646"/>
          <a:ext cx="7200000" cy="73904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74400</xdr:rowOff>
    </xdr:from>
    <xdr:to>
      <xdr:col>9</xdr:col>
      <xdr:colOff>675375</xdr:colOff>
      <xdr:row>48</xdr:row>
      <xdr:rowOff>49615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0438A3CC-A546-4C8A-8D59-D5B51C3B7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25" y="9408900"/>
          <a:ext cx="7200000" cy="77531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47</xdr:row>
      <xdr:rowOff>99487</xdr:rowOff>
    </xdr:from>
    <xdr:to>
      <xdr:col>9</xdr:col>
      <xdr:colOff>675375</xdr:colOff>
      <xdr:row>51</xdr:row>
      <xdr:rowOff>28904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E9F8E37F-5E92-4AB2-9BE9-BB42ABA6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" y="10062637"/>
          <a:ext cx="7200000" cy="739042"/>
        </a:xfrm>
        <a:prstGeom prst="rect">
          <a:avLst/>
        </a:prstGeom>
      </xdr:spPr>
    </xdr:pic>
    <xdr:clientData/>
  </xdr:twoCellAnchor>
  <xdr:twoCellAnchor>
    <xdr:from>
      <xdr:col>3</xdr:col>
      <xdr:colOff>581025</xdr:colOff>
      <xdr:row>32</xdr:row>
      <xdr:rowOff>66675</xdr:rowOff>
    </xdr:from>
    <xdr:to>
      <xdr:col>5</xdr:col>
      <xdr:colOff>714375</xdr:colOff>
      <xdr:row>33</xdr:row>
      <xdr:rowOff>57150</xdr:rowOff>
    </xdr:to>
    <xdr:cxnSp macro="">
      <xdr:nvCxnSpPr>
        <xdr:cNvPr id="9" name="弧形接點 20">
          <a:extLst>
            <a:ext uri="{FF2B5EF4-FFF2-40B4-BE49-F238E27FC236}">
              <a16:creationId xmlns:a16="http://schemas.microsoft.com/office/drawing/2014/main" id="{CCC5E673-2668-4A64-A647-87B53CC20DB0}"/>
            </a:ext>
          </a:extLst>
        </xdr:cNvPr>
        <xdr:cNvCxnSpPr/>
      </xdr:nvCxnSpPr>
      <xdr:spPr>
        <a:xfrm flipV="1">
          <a:off x="2638425" y="6877050"/>
          <a:ext cx="1914525" cy="200025"/>
        </a:xfrm>
        <a:prstGeom prst="curvedConnector3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314325</xdr:colOff>
      <xdr:row>33</xdr:row>
      <xdr:rowOff>122926</xdr:rowOff>
    </xdr:from>
    <xdr:to>
      <xdr:col>5</xdr:col>
      <xdr:colOff>762000</xdr:colOff>
      <xdr:row>34</xdr:row>
      <xdr:rowOff>76200</xdr:rowOff>
    </xdr:to>
    <xdr:cxnSp macro="">
      <xdr:nvCxnSpPr>
        <xdr:cNvPr id="10" name="弧形接點 24">
          <a:extLst>
            <a:ext uri="{FF2B5EF4-FFF2-40B4-BE49-F238E27FC236}">
              <a16:creationId xmlns:a16="http://schemas.microsoft.com/office/drawing/2014/main" id="{A9A37889-1E09-4B34-9EDD-EAAC7C3F0222}"/>
            </a:ext>
          </a:extLst>
        </xdr:cNvPr>
        <xdr:cNvCxnSpPr/>
      </xdr:nvCxnSpPr>
      <xdr:spPr>
        <a:xfrm>
          <a:off x="1685925" y="7142851"/>
          <a:ext cx="2914650" cy="162824"/>
        </a:xfrm>
        <a:prstGeom prst="curvedConnector3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276225</xdr:colOff>
      <xdr:row>43</xdr:row>
      <xdr:rowOff>30985</xdr:rowOff>
    </xdr:from>
    <xdr:to>
      <xdr:col>5</xdr:col>
      <xdr:colOff>704850</xdr:colOff>
      <xdr:row>43</xdr:row>
      <xdr:rowOff>180975</xdr:rowOff>
    </xdr:to>
    <xdr:cxnSp macro="">
      <xdr:nvCxnSpPr>
        <xdr:cNvPr id="11" name="弧形接點 28">
          <a:extLst>
            <a:ext uri="{FF2B5EF4-FFF2-40B4-BE49-F238E27FC236}">
              <a16:creationId xmlns:a16="http://schemas.microsoft.com/office/drawing/2014/main" id="{43C2FC5E-3FBD-43CE-BA96-B856F03168A1}"/>
            </a:ext>
          </a:extLst>
        </xdr:cNvPr>
        <xdr:cNvCxnSpPr/>
      </xdr:nvCxnSpPr>
      <xdr:spPr>
        <a:xfrm>
          <a:off x="1647825" y="9146410"/>
          <a:ext cx="2895600" cy="149990"/>
        </a:xfrm>
        <a:prstGeom prst="curvedConnector3">
          <a:avLst>
            <a:gd name="adj1" fmla="val 53484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304800</xdr:colOff>
      <xdr:row>35</xdr:row>
      <xdr:rowOff>76200</xdr:rowOff>
    </xdr:from>
    <xdr:to>
      <xdr:col>5</xdr:col>
      <xdr:colOff>688586</xdr:colOff>
      <xdr:row>36</xdr:row>
      <xdr:rowOff>183283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8B731D0F-9DC7-4CF0-B9AB-4CE51F72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6400" y="7515225"/>
          <a:ext cx="2850761" cy="30710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8</xdr:row>
      <xdr:rowOff>104775</xdr:rowOff>
    </xdr:from>
    <xdr:to>
      <xdr:col>5</xdr:col>
      <xdr:colOff>248238</xdr:colOff>
      <xdr:row>21</xdr:row>
      <xdr:rowOff>105155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FD3EC60A-0150-48FC-BB48-69758C40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1781175"/>
          <a:ext cx="4210638" cy="2724530"/>
        </a:xfrm>
        <a:prstGeom prst="rect">
          <a:avLst/>
        </a:prstGeom>
      </xdr:spPr>
    </xdr:pic>
    <xdr:clientData/>
  </xdr:twoCellAnchor>
  <xdr:twoCellAnchor>
    <xdr:from>
      <xdr:col>12</xdr:col>
      <xdr:colOff>219075</xdr:colOff>
      <xdr:row>3</xdr:row>
      <xdr:rowOff>190500</xdr:rowOff>
    </xdr:from>
    <xdr:to>
      <xdr:col>19</xdr:col>
      <xdr:colOff>66675</xdr:colOff>
      <xdr:row>16</xdr:row>
      <xdr:rowOff>180975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EF6843D3-E936-4211-ADCD-A882A13531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8</xdr:row>
      <xdr:rowOff>66675</xdr:rowOff>
    </xdr:from>
    <xdr:to>
      <xdr:col>5</xdr:col>
      <xdr:colOff>238731</xdr:colOff>
      <xdr:row>22</xdr:row>
      <xdr:rowOff>76611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CCE6C5CF-926A-44D1-8BB8-72ABD0B23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0" y="1771650"/>
          <a:ext cx="4344006" cy="2943636"/>
        </a:xfrm>
        <a:prstGeom prst="rect">
          <a:avLst/>
        </a:prstGeom>
      </xdr:spPr>
    </xdr:pic>
    <xdr:clientData/>
  </xdr:twoCellAnchor>
  <xdr:twoCellAnchor>
    <xdr:from>
      <xdr:col>5</xdr:col>
      <xdr:colOff>466725</xdr:colOff>
      <xdr:row>15</xdr:row>
      <xdr:rowOff>158750</xdr:rowOff>
    </xdr:from>
    <xdr:to>
      <xdr:col>9</xdr:col>
      <xdr:colOff>393700</xdr:colOff>
      <xdr:row>26</xdr:row>
      <xdr:rowOff>152400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7BCFA898-7CB2-455D-9AB3-007F484EA2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57149</xdr:rowOff>
    </xdr:from>
    <xdr:to>
      <xdr:col>10</xdr:col>
      <xdr:colOff>557954</xdr:colOff>
      <xdr:row>47</xdr:row>
      <xdr:rowOff>180098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AA977E8C-D22A-4467-86B8-38F20BC524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858" r="14754"/>
        <a:stretch/>
      </xdr:blipFill>
      <xdr:spPr>
        <a:xfrm>
          <a:off x="0" y="5674734"/>
          <a:ext cx="8740795" cy="3846358"/>
        </a:xfrm>
        <a:prstGeom prst="rect">
          <a:avLst/>
        </a:prstGeom>
      </xdr:spPr>
    </xdr:pic>
    <xdr:clientData/>
  </xdr:twoCellAnchor>
  <xdr:twoCellAnchor>
    <xdr:from>
      <xdr:col>4</xdr:col>
      <xdr:colOff>797935</xdr:colOff>
      <xdr:row>39</xdr:row>
      <xdr:rowOff>116466</xdr:rowOff>
    </xdr:from>
    <xdr:to>
      <xdr:col>7</xdr:col>
      <xdr:colOff>150235</xdr:colOff>
      <xdr:row>41</xdr:row>
      <xdr:rowOff>35936</xdr:rowOff>
    </xdr:to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72F7BCC1-1B9E-4BEC-ADC0-72157A55C5DD}"/>
            </a:ext>
          </a:extLst>
        </xdr:cNvPr>
        <xdr:cNvSpPr/>
      </xdr:nvSpPr>
      <xdr:spPr>
        <a:xfrm>
          <a:off x="3828617" y="7888000"/>
          <a:ext cx="1484601" cy="30912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7</xdr:col>
      <xdr:colOff>249814</xdr:colOff>
      <xdr:row>39</xdr:row>
      <xdr:rowOff>131620</xdr:rowOff>
    </xdr:from>
    <xdr:to>
      <xdr:col>8</xdr:col>
      <xdr:colOff>164089</xdr:colOff>
      <xdr:row>40</xdr:row>
      <xdr:rowOff>188769</xdr:rowOff>
    </xdr:to>
    <xdr:sp macro="" textlink="">
      <xdr:nvSpPr>
        <xdr:cNvPr id="4" name="文字方塊 3">
          <a:extLst>
            <a:ext uri="{FF2B5EF4-FFF2-40B4-BE49-F238E27FC236}">
              <a16:creationId xmlns:a16="http://schemas.microsoft.com/office/drawing/2014/main" id="{F11C2638-7073-4799-BAEF-A3DA794B3859}"/>
            </a:ext>
          </a:extLst>
        </xdr:cNvPr>
        <xdr:cNvSpPr txBox="1"/>
      </xdr:nvSpPr>
      <xdr:spPr>
        <a:xfrm>
          <a:off x="5412797" y="7903154"/>
          <a:ext cx="758536" cy="2519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>
              <a:solidFill>
                <a:srgbClr val="FF0000"/>
              </a:solidFill>
            </a:rPr>
            <a:t>why ????</a:t>
          </a:r>
          <a:endParaRPr lang="zh-TW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488806</xdr:colOff>
      <xdr:row>34</xdr:row>
      <xdr:rowOff>117764</xdr:rowOff>
    </xdr:from>
    <xdr:to>
      <xdr:col>4</xdr:col>
      <xdr:colOff>450706</xdr:colOff>
      <xdr:row>36</xdr:row>
      <xdr:rowOff>37234</xdr:rowOff>
    </xdr:to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00DCC104-87E4-4E66-8002-7D8C9382F1F5}"/>
            </a:ext>
          </a:extLst>
        </xdr:cNvPr>
        <xdr:cNvSpPr/>
      </xdr:nvSpPr>
      <xdr:spPr>
        <a:xfrm>
          <a:off x="1246476" y="6904327"/>
          <a:ext cx="2234912" cy="309129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4</xdr:col>
      <xdr:colOff>609600</xdr:colOff>
      <xdr:row>34</xdr:row>
      <xdr:rowOff>57151</xdr:rowOff>
    </xdr:from>
    <xdr:to>
      <xdr:col>5</xdr:col>
      <xdr:colOff>657225</xdr:colOff>
      <xdr:row>35</xdr:row>
      <xdr:rowOff>114301</xdr:rowOff>
    </xdr:to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id="{DFCACD55-C23F-44B8-8215-5976EE34A0CF}"/>
            </a:ext>
          </a:extLst>
        </xdr:cNvPr>
        <xdr:cNvSpPr txBox="1"/>
      </xdr:nvSpPr>
      <xdr:spPr>
        <a:xfrm>
          <a:off x="3352800" y="7324726"/>
          <a:ext cx="981075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>
              <a:solidFill>
                <a:srgbClr val="FF0000"/>
              </a:solidFill>
            </a:rPr>
            <a:t>ratio=1.83025</a:t>
          </a:r>
          <a:endParaRPr lang="zh-TW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507114</xdr:colOff>
      <xdr:row>41</xdr:row>
      <xdr:rowOff>79230</xdr:rowOff>
    </xdr:from>
    <xdr:to>
      <xdr:col>5</xdr:col>
      <xdr:colOff>149494</xdr:colOff>
      <xdr:row>42</xdr:row>
      <xdr:rowOff>69706</xdr:rowOff>
    </xdr:to>
    <xdr:sp macro="" textlink="">
      <xdr:nvSpPr>
        <xdr:cNvPr id="7" name="矩形 6">
          <a:extLst>
            <a:ext uri="{FF2B5EF4-FFF2-40B4-BE49-F238E27FC236}">
              <a16:creationId xmlns:a16="http://schemas.microsoft.com/office/drawing/2014/main" id="{230A0506-B655-4E78-8A1E-E3A62B37556A}"/>
            </a:ext>
          </a:extLst>
        </xdr:cNvPr>
        <xdr:cNvSpPr/>
      </xdr:nvSpPr>
      <xdr:spPr>
        <a:xfrm>
          <a:off x="2022455" y="8240423"/>
          <a:ext cx="2088573" cy="18530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5</xdr:col>
      <xdr:colOff>470313</xdr:colOff>
      <xdr:row>41</xdr:row>
      <xdr:rowOff>123825</xdr:rowOff>
    </xdr:from>
    <xdr:to>
      <xdr:col>6</xdr:col>
      <xdr:colOff>466725</xdr:colOff>
      <xdr:row>42</xdr:row>
      <xdr:rowOff>180975</xdr:rowOff>
    </xdr:to>
    <xdr:sp macro="" textlink="">
      <xdr:nvSpPr>
        <xdr:cNvPr id="8" name="文字方塊 7">
          <a:extLst>
            <a:ext uri="{FF2B5EF4-FFF2-40B4-BE49-F238E27FC236}">
              <a16:creationId xmlns:a16="http://schemas.microsoft.com/office/drawing/2014/main" id="{3EEA838E-1BD0-44B9-B91C-DF89671E2F02}"/>
            </a:ext>
          </a:extLst>
        </xdr:cNvPr>
        <xdr:cNvSpPr txBox="1"/>
      </xdr:nvSpPr>
      <xdr:spPr>
        <a:xfrm>
          <a:off x="4146963" y="8867775"/>
          <a:ext cx="739362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>
              <a:solidFill>
                <a:srgbClr val="FF0000"/>
              </a:solidFill>
            </a:rPr>
            <a:t>ratio=1.96</a:t>
          </a:r>
          <a:endParaRPr lang="zh-TW" altLang="en-US" sz="1100">
            <a:solidFill>
              <a:srgbClr val="FF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152400</xdr:colOff>
      <xdr:row>41</xdr:row>
      <xdr:rowOff>66676</xdr:rowOff>
    </xdr:from>
    <xdr:to>
      <xdr:col>42</xdr:col>
      <xdr:colOff>66675</xdr:colOff>
      <xdr:row>42</xdr:row>
      <xdr:rowOff>123826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1A2C86FD-17A1-4DBE-9728-7BA79C19E3A7}"/>
            </a:ext>
          </a:extLst>
        </xdr:cNvPr>
        <xdr:cNvSpPr txBox="1"/>
      </xdr:nvSpPr>
      <xdr:spPr>
        <a:xfrm>
          <a:off x="28308300" y="8705851"/>
          <a:ext cx="7620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>
              <a:solidFill>
                <a:srgbClr val="FF0000"/>
              </a:solidFill>
            </a:rPr>
            <a:t>why ????</a:t>
          </a:r>
          <a:endParaRPr lang="zh-TW" alt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32</xdr:col>
      <xdr:colOff>116268</xdr:colOff>
      <xdr:row>1</xdr:row>
      <xdr:rowOff>35775</xdr:rowOff>
    </xdr:from>
    <xdr:to>
      <xdr:col>48</xdr:col>
      <xdr:colOff>228922</xdr:colOff>
      <xdr:row>27</xdr:row>
      <xdr:rowOff>139395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B7AAADA6-AAC2-406B-99E2-A6E96606C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57"/>
        <a:stretch/>
      </xdr:blipFill>
      <xdr:spPr>
        <a:xfrm>
          <a:off x="22014243" y="245325"/>
          <a:ext cx="12371328" cy="5185802"/>
        </a:xfrm>
        <a:prstGeom prst="rect">
          <a:avLst/>
        </a:prstGeom>
      </xdr:spPr>
    </xdr:pic>
    <xdr:clientData/>
  </xdr:twoCellAnchor>
  <xdr:twoCellAnchor>
    <xdr:from>
      <xdr:col>3</xdr:col>
      <xdr:colOff>128788</xdr:colOff>
      <xdr:row>26</xdr:row>
      <xdr:rowOff>178873</xdr:rowOff>
    </xdr:from>
    <xdr:to>
      <xdr:col>17</xdr:col>
      <xdr:colOff>71548</xdr:colOff>
      <xdr:row>44</xdr:row>
      <xdr:rowOff>62605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16542879-E0E9-4A6B-872F-419B2399E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45</xdr:row>
      <xdr:rowOff>0</xdr:rowOff>
    </xdr:from>
    <xdr:to>
      <xdr:col>16</xdr:col>
      <xdr:colOff>631422</xdr:colOff>
      <xdr:row>62</xdr:row>
      <xdr:rowOff>107323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AE8B457-1039-447E-843B-425933D32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9338</xdr:colOff>
      <xdr:row>63</xdr:row>
      <xdr:rowOff>158750</xdr:rowOff>
    </xdr:from>
    <xdr:to>
      <xdr:col>16</xdr:col>
      <xdr:colOff>640760</xdr:colOff>
      <xdr:row>81</xdr:row>
      <xdr:rowOff>51293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4C606FEA-0020-4C71-B801-632C1A38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152400</xdr:colOff>
      <xdr:row>41</xdr:row>
      <xdr:rowOff>66676</xdr:rowOff>
    </xdr:from>
    <xdr:to>
      <xdr:col>41</xdr:col>
      <xdr:colOff>66675</xdr:colOff>
      <xdr:row>42</xdr:row>
      <xdr:rowOff>123826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B3C3D0D-453F-4B78-817A-DF07DD7C5AD6}"/>
            </a:ext>
          </a:extLst>
        </xdr:cNvPr>
        <xdr:cNvSpPr txBox="1"/>
      </xdr:nvSpPr>
      <xdr:spPr>
        <a:xfrm>
          <a:off x="31026100" y="8169276"/>
          <a:ext cx="727075" cy="254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>
              <a:solidFill>
                <a:srgbClr val="FF0000"/>
              </a:solidFill>
            </a:rPr>
            <a:t>why ????</a:t>
          </a:r>
          <a:endParaRPr lang="zh-TW" alt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560295</xdr:colOff>
      <xdr:row>0</xdr:row>
      <xdr:rowOff>162066</xdr:rowOff>
    </xdr:from>
    <xdr:to>
      <xdr:col>8</xdr:col>
      <xdr:colOff>463354</xdr:colOff>
      <xdr:row>17</xdr:row>
      <xdr:rowOff>123967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93D29D27-E733-46CB-8747-3DA34218B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9530" y="162066"/>
          <a:ext cx="5760000" cy="3263901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560295</xdr:colOff>
      <xdr:row>17</xdr:row>
      <xdr:rowOff>121177</xdr:rowOff>
    </xdr:from>
    <xdr:to>
      <xdr:col>8</xdr:col>
      <xdr:colOff>463354</xdr:colOff>
      <xdr:row>27</xdr:row>
      <xdr:rowOff>146348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0E071A7-362C-4131-AFF4-B2F80D899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9530" y="3423177"/>
          <a:ext cx="5760000" cy="1967524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560295</xdr:colOff>
      <xdr:row>27</xdr:row>
      <xdr:rowOff>134766</xdr:rowOff>
    </xdr:from>
    <xdr:to>
      <xdr:col>8</xdr:col>
      <xdr:colOff>463354</xdr:colOff>
      <xdr:row>35</xdr:row>
      <xdr:rowOff>76861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27994987-23F9-4BB8-9562-89554891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9530" y="5379119"/>
          <a:ext cx="5760000" cy="1495977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560295</xdr:colOff>
      <xdr:row>35</xdr:row>
      <xdr:rowOff>574</xdr:rowOff>
    </xdr:from>
    <xdr:to>
      <xdr:col>8</xdr:col>
      <xdr:colOff>463354</xdr:colOff>
      <xdr:row>53</xdr:row>
      <xdr:rowOff>8363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860BF053-B909-48E0-A439-2B77986D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9530" y="6798809"/>
          <a:ext cx="5760000" cy="3511495"/>
        </a:xfrm>
        <a:prstGeom prst="rect">
          <a:avLst/>
        </a:prstGeom>
      </xdr:spPr>
    </xdr:pic>
    <xdr:clientData/>
  </xdr:twoCellAnchor>
  <xdr:twoCellAnchor editAs="oneCell">
    <xdr:from>
      <xdr:col>9</xdr:col>
      <xdr:colOff>44823</xdr:colOff>
      <xdr:row>1</xdr:row>
      <xdr:rowOff>190373</xdr:rowOff>
    </xdr:from>
    <xdr:to>
      <xdr:col>17</xdr:col>
      <xdr:colOff>348614</xdr:colOff>
      <xdr:row>21</xdr:row>
      <xdr:rowOff>71794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863CFF71-3C11-4990-8E71-68CD52AC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63117" y="384608"/>
          <a:ext cx="6153261" cy="37661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7</xdr:row>
      <xdr:rowOff>19050</xdr:rowOff>
    </xdr:from>
    <xdr:to>
      <xdr:col>4</xdr:col>
      <xdr:colOff>86277</xdr:colOff>
      <xdr:row>12</xdr:row>
      <xdr:rowOff>28721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2A9364E2-07C3-4B07-9BBD-E666FBF0A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1485900"/>
          <a:ext cx="3953427" cy="104789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171450</xdr:rowOff>
    </xdr:from>
    <xdr:to>
      <xdr:col>3</xdr:col>
      <xdr:colOff>1981742</xdr:colOff>
      <xdr:row>17</xdr:row>
      <xdr:rowOff>133491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EE701A17-0744-40C2-B8A2-A1C46470B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" y="2676525"/>
          <a:ext cx="3886742" cy="1009791"/>
        </a:xfrm>
        <a:prstGeom prst="rect">
          <a:avLst/>
        </a:prstGeom>
      </xdr:spPr>
    </xdr:pic>
    <xdr:clientData/>
  </xdr:twoCellAnchor>
  <xdr:twoCellAnchor editAs="oneCell">
    <xdr:from>
      <xdr:col>4</xdr:col>
      <xdr:colOff>195942</xdr:colOff>
      <xdr:row>5</xdr:row>
      <xdr:rowOff>147218</xdr:rowOff>
    </xdr:from>
    <xdr:to>
      <xdr:col>8</xdr:col>
      <xdr:colOff>66675</xdr:colOff>
      <xdr:row>18</xdr:row>
      <xdr:rowOff>54884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80F413A2-44B8-4F4E-BFA2-08043194E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5517" y="1194968"/>
          <a:ext cx="3985533" cy="2622291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7</xdr:row>
      <xdr:rowOff>9525</xdr:rowOff>
    </xdr:from>
    <xdr:to>
      <xdr:col>13</xdr:col>
      <xdr:colOff>267256</xdr:colOff>
      <xdr:row>17</xdr:row>
      <xdr:rowOff>105079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7026B4A6-4900-407F-A73D-EB1298639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39150" y="1476375"/>
          <a:ext cx="3982006" cy="21815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20</xdr:row>
      <xdr:rowOff>38100</xdr:rowOff>
    </xdr:from>
    <xdr:to>
      <xdr:col>5</xdr:col>
      <xdr:colOff>105336</xdr:colOff>
      <xdr:row>24</xdr:row>
      <xdr:rowOff>112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A11BAE2B-6AE3-4865-A53C-164E9671A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950" y="4276725"/>
          <a:ext cx="4020111" cy="800212"/>
        </a:xfrm>
        <a:prstGeom prst="rect">
          <a:avLst/>
        </a:prstGeom>
      </xdr:spPr>
    </xdr:pic>
    <xdr:clientData/>
  </xdr:twoCellAnchor>
  <xdr:twoCellAnchor editAs="oneCell">
    <xdr:from>
      <xdr:col>1</xdr:col>
      <xdr:colOff>819150</xdr:colOff>
      <xdr:row>24</xdr:row>
      <xdr:rowOff>123825</xdr:rowOff>
    </xdr:from>
    <xdr:to>
      <xdr:col>5</xdr:col>
      <xdr:colOff>57703</xdr:colOff>
      <xdr:row>30</xdr:row>
      <xdr:rowOff>9685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986D90E3-EBCB-4CF6-A2D2-BF5958C41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5200650"/>
          <a:ext cx="3962953" cy="114316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0</xdr:row>
      <xdr:rowOff>180975</xdr:rowOff>
    </xdr:from>
    <xdr:to>
      <xdr:col>10</xdr:col>
      <xdr:colOff>610295</xdr:colOff>
      <xdr:row>14</xdr:row>
      <xdr:rowOff>190917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2301BA71-ADA1-47F2-8072-E0F49C07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8875" y="180975"/>
          <a:ext cx="4982270" cy="2991267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14</xdr:row>
      <xdr:rowOff>104775</xdr:rowOff>
    </xdr:from>
    <xdr:to>
      <xdr:col>5</xdr:col>
      <xdr:colOff>172020</xdr:colOff>
      <xdr:row>19</xdr:row>
      <xdr:rowOff>104921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AC9DE3A7-E9EF-41B7-BD1F-C3AF7A499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3950" y="3086100"/>
          <a:ext cx="4086795" cy="104789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15</xdr:row>
      <xdr:rowOff>66675</xdr:rowOff>
    </xdr:from>
    <xdr:to>
      <xdr:col>10</xdr:col>
      <xdr:colOff>572211</xdr:colOff>
      <xdr:row>26</xdr:row>
      <xdr:rowOff>312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119CA704-F164-4A83-B23A-692AA20B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86475" y="3257550"/>
          <a:ext cx="5096586" cy="223868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92448</xdr:colOff>
      <xdr:row>0</xdr:row>
      <xdr:rowOff>25214</xdr:rowOff>
    </xdr:from>
    <xdr:to>
      <xdr:col>13</xdr:col>
      <xdr:colOff>451174</xdr:colOff>
      <xdr:row>26</xdr:row>
      <xdr:rowOff>140297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F7B9471A-D202-4CB3-9DDC-F2078431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2624" y="25214"/>
          <a:ext cx="5020374" cy="5695612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</xdr:colOff>
      <xdr:row>11</xdr:row>
      <xdr:rowOff>89647</xdr:rowOff>
    </xdr:from>
    <xdr:to>
      <xdr:col>4</xdr:col>
      <xdr:colOff>726539</xdr:colOff>
      <xdr:row>17</xdr:row>
      <xdr:rowOff>8886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B4E51301-A13D-4105-A188-B5FC3002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4764" y="2476500"/>
          <a:ext cx="3998657" cy="1196710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</xdr:colOff>
      <xdr:row>17</xdr:row>
      <xdr:rowOff>89647</xdr:rowOff>
    </xdr:from>
    <xdr:to>
      <xdr:col>4</xdr:col>
      <xdr:colOff>821803</xdr:colOff>
      <xdr:row>21</xdr:row>
      <xdr:rowOff>159168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5DEA1501-FD14-4BD3-89F9-D5C8316FA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4764" y="3753971"/>
          <a:ext cx="4093921" cy="921168"/>
        </a:xfrm>
        <a:prstGeom prst="rect">
          <a:avLst/>
        </a:prstGeom>
      </xdr:spPr>
    </xdr:pic>
    <xdr:clientData/>
  </xdr:twoCellAnchor>
  <xdr:twoCellAnchor editAs="oneCell">
    <xdr:from>
      <xdr:col>1</xdr:col>
      <xdr:colOff>63232</xdr:colOff>
      <xdr:row>22</xdr:row>
      <xdr:rowOff>53629</xdr:rowOff>
    </xdr:from>
    <xdr:to>
      <xdr:col>4</xdr:col>
      <xdr:colOff>681623</xdr:colOff>
      <xdr:row>27</xdr:row>
      <xdr:rowOff>127899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AA1BE21A-EF63-48FD-89AA-76CFD11C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5585" y="4782511"/>
          <a:ext cx="3912920" cy="113882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302559</xdr:colOff>
      <xdr:row>0</xdr:row>
      <xdr:rowOff>168089</xdr:rowOff>
    </xdr:from>
    <xdr:to>
      <xdr:col>13</xdr:col>
      <xdr:colOff>632709</xdr:colOff>
      <xdr:row>28</xdr:row>
      <xdr:rowOff>182376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19118759-7771-40E6-8BDD-C5FE01C4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2735" y="168089"/>
          <a:ext cx="4991797" cy="6020640"/>
        </a:xfrm>
        <a:prstGeom prst="rect">
          <a:avLst/>
        </a:prstGeom>
      </xdr:spPr>
    </xdr:pic>
    <xdr:clientData/>
  </xdr:twoCellAnchor>
  <xdr:twoCellAnchor editAs="oneCell">
    <xdr:from>
      <xdr:col>1</xdr:col>
      <xdr:colOff>33619</xdr:colOff>
      <xdr:row>25</xdr:row>
      <xdr:rowOff>145677</xdr:rowOff>
    </xdr:from>
    <xdr:to>
      <xdr:col>3</xdr:col>
      <xdr:colOff>819140</xdr:colOff>
      <xdr:row>30</xdr:row>
      <xdr:rowOff>24226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470140FF-DC4B-4C7B-ACDC-A9F1D9047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5972" y="5513295"/>
          <a:ext cx="3934374" cy="943107"/>
        </a:xfrm>
        <a:prstGeom prst="rect">
          <a:avLst/>
        </a:prstGeom>
      </xdr:spPr>
    </xdr:pic>
    <xdr:clientData/>
  </xdr:twoCellAnchor>
  <xdr:twoCellAnchor editAs="oneCell">
    <xdr:from>
      <xdr:col>1</xdr:col>
      <xdr:colOff>56031</xdr:colOff>
      <xdr:row>30</xdr:row>
      <xdr:rowOff>100853</xdr:rowOff>
    </xdr:from>
    <xdr:to>
      <xdr:col>3</xdr:col>
      <xdr:colOff>793920</xdr:colOff>
      <xdr:row>36</xdr:row>
      <xdr:rowOff>109436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21A70CDD-3E10-467F-87B3-FBA62182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8384" y="6533029"/>
          <a:ext cx="3886742" cy="1286054"/>
        </a:xfrm>
        <a:prstGeom prst="rect">
          <a:avLst/>
        </a:prstGeom>
      </xdr:spPr>
    </xdr:pic>
    <xdr:clientData/>
  </xdr:twoCellAnchor>
  <xdr:twoCellAnchor editAs="oneCell">
    <xdr:from>
      <xdr:col>1</xdr:col>
      <xdr:colOff>44825</xdr:colOff>
      <xdr:row>36</xdr:row>
      <xdr:rowOff>112059</xdr:rowOff>
    </xdr:from>
    <xdr:to>
      <xdr:col>3</xdr:col>
      <xdr:colOff>839872</xdr:colOff>
      <xdr:row>42</xdr:row>
      <xdr:rowOff>149221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BA4B0F9D-B662-4E3D-9A49-21539C716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178" y="7821706"/>
          <a:ext cx="3943900" cy="1314633"/>
        </a:xfrm>
        <a:prstGeom prst="rect">
          <a:avLst/>
        </a:prstGeom>
      </xdr:spPr>
    </xdr:pic>
    <xdr:clientData/>
  </xdr:twoCellAnchor>
  <xdr:twoCellAnchor editAs="oneCell">
    <xdr:from>
      <xdr:col>3</xdr:col>
      <xdr:colOff>1019736</xdr:colOff>
      <xdr:row>25</xdr:row>
      <xdr:rowOff>190498</xdr:rowOff>
    </xdr:from>
    <xdr:to>
      <xdr:col>6</xdr:col>
      <xdr:colOff>86270</xdr:colOff>
      <xdr:row>30</xdr:row>
      <xdr:rowOff>59520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9B7F851D-EF96-4169-B6BA-D8713416D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40942" y="5558116"/>
          <a:ext cx="3896269" cy="933580"/>
        </a:xfrm>
        <a:prstGeom prst="rect">
          <a:avLst/>
        </a:prstGeom>
      </xdr:spPr>
    </xdr:pic>
    <xdr:clientData/>
  </xdr:twoCellAnchor>
  <xdr:twoCellAnchor editAs="oneCell">
    <xdr:from>
      <xdr:col>3</xdr:col>
      <xdr:colOff>974913</xdr:colOff>
      <xdr:row>30</xdr:row>
      <xdr:rowOff>190501</xdr:rowOff>
    </xdr:from>
    <xdr:to>
      <xdr:col>6</xdr:col>
      <xdr:colOff>79552</xdr:colOff>
      <xdr:row>35</xdr:row>
      <xdr:rowOff>164312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31986CC9-7ADA-4EDF-9F94-0B10D89C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6119" y="6622677"/>
          <a:ext cx="3934374" cy="1038370"/>
        </a:xfrm>
        <a:prstGeom prst="rect">
          <a:avLst/>
        </a:prstGeom>
      </xdr:spPr>
    </xdr:pic>
    <xdr:clientData/>
  </xdr:twoCellAnchor>
  <xdr:twoCellAnchor editAs="oneCell">
    <xdr:from>
      <xdr:col>3</xdr:col>
      <xdr:colOff>907677</xdr:colOff>
      <xdr:row>36</xdr:row>
      <xdr:rowOff>67235</xdr:rowOff>
    </xdr:from>
    <xdr:to>
      <xdr:col>6</xdr:col>
      <xdr:colOff>50421</xdr:colOff>
      <xdr:row>41</xdr:row>
      <xdr:rowOff>126783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364CA9C5-FB7C-4073-8A10-C7CEC720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28883" y="7776882"/>
          <a:ext cx="3972479" cy="11241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273049</xdr:colOff>
      <xdr:row>2</xdr:row>
      <xdr:rowOff>190499</xdr:rowOff>
    </xdr:from>
    <xdr:ext cx="5229225" cy="3857625"/>
    <xdr:graphicFrame macro="">
      <xdr:nvGraphicFramePr>
        <xdr:cNvPr id="1392410800" name="Chart 2">
          <a:extLst>
            <a:ext uri="{FF2B5EF4-FFF2-40B4-BE49-F238E27FC236}">
              <a16:creationId xmlns:a16="http://schemas.microsoft.com/office/drawing/2014/main" id="{00000000-0008-0000-0100-0000B080FE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533400</xdr:colOff>
      <xdr:row>30</xdr:row>
      <xdr:rowOff>200025</xdr:rowOff>
    </xdr:from>
    <xdr:ext cx="4305300" cy="3619500"/>
    <xdr:pic>
      <xdr:nvPicPr>
        <xdr:cNvPr id="2" name="image1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704850</xdr:colOff>
      <xdr:row>48</xdr:row>
      <xdr:rowOff>180975</xdr:rowOff>
    </xdr:from>
    <xdr:ext cx="4610100" cy="504825"/>
    <xdr:pic>
      <xdr:nvPicPr>
        <xdr:cNvPr id="3" name="image15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213600" y="10455275"/>
          <a:ext cx="4610100" cy="504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495301</xdr:colOff>
      <xdr:row>31</xdr:row>
      <xdr:rowOff>63500</xdr:rowOff>
    </xdr:from>
    <xdr:ext cx="5403849" cy="2247900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5301" y="6775450"/>
          <a:ext cx="5403849" cy="2247900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66448</xdr:colOff>
      <xdr:row>26</xdr:row>
      <xdr:rowOff>166509</xdr:rowOff>
    </xdr:from>
    <xdr:to>
      <xdr:col>10</xdr:col>
      <xdr:colOff>508886</xdr:colOff>
      <xdr:row>47</xdr:row>
      <xdr:rowOff>13066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9ED35B12-6924-4AD2-8C4E-BBE940DCFE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3"/>
        <a:stretch/>
      </xdr:blipFill>
      <xdr:spPr>
        <a:xfrm>
          <a:off x="152173" y="6519684"/>
          <a:ext cx="7900513" cy="40058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396875</xdr:colOff>
      <xdr:row>3</xdr:row>
      <xdr:rowOff>34925</xdr:rowOff>
    </xdr:from>
    <xdr:ext cx="4295775" cy="3000375"/>
    <xdr:graphicFrame macro="">
      <xdr:nvGraphicFramePr>
        <xdr:cNvPr id="1611988426" name="Chart 3">
          <a:extLst>
            <a:ext uri="{FF2B5EF4-FFF2-40B4-BE49-F238E27FC236}">
              <a16:creationId xmlns:a16="http://schemas.microsoft.com/office/drawing/2014/main" id="{00000000-0008-0000-0200-0000CAFD14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0</xdr:colOff>
      <xdr:row>5</xdr:row>
      <xdr:rowOff>114300</xdr:rowOff>
    </xdr:from>
    <xdr:ext cx="3848100" cy="2371725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r="2416"/>
        <a:stretch/>
      </xdr:blipFill>
      <xdr:spPr>
        <a:xfrm>
          <a:off x="0" y="1333500"/>
          <a:ext cx="3848100" cy="23717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190500</xdr:rowOff>
    </xdr:from>
    <xdr:ext cx="3981450" cy="514350"/>
    <xdr:pic>
      <xdr:nvPicPr>
        <xdr:cNvPr id="3" name="image6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924300"/>
          <a:ext cx="3981450" cy="5143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1057275</xdr:colOff>
      <xdr:row>7</xdr:row>
      <xdr:rowOff>187325</xdr:rowOff>
    </xdr:from>
    <xdr:ext cx="4438650" cy="3667125"/>
    <xdr:graphicFrame macro="">
      <xdr:nvGraphicFramePr>
        <xdr:cNvPr id="1727918237" name="Chart 4">
          <a:extLst>
            <a:ext uri="{FF2B5EF4-FFF2-40B4-BE49-F238E27FC236}">
              <a16:creationId xmlns:a16="http://schemas.microsoft.com/office/drawing/2014/main" id="{00000000-0008-0000-0300-00009DF0FD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466725</xdr:colOff>
      <xdr:row>8</xdr:row>
      <xdr:rowOff>53975</xdr:rowOff>
    </xdr:from>
    <xdr:ext cx="4267200" cy="2819400"/>
    <xdr:pic>
      <xdr:nvPicPr>
        <xdr:cNvPr id="2" name="image16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6725" y="1755775"/>
          <a:ext cx="4267200" cy="28194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31</xdr:row>
      <xdr:rowOff>57150</xdr:rowOff>
    </xdr:from>
    <xdr:ext cx="6457950" cy="5314950"/>
    <xdr:pic>
      <xdr:nvPicPr>
        <xdr:cNvPr id="3" name="image7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2925" y="9934575"/>
          <a:ext cx="6457950" cy="53149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561975</xdr:colOff>
      <xdr:row>11</xdr:row>
      <xdr:rowOff>85725</xdr:rowOff>
    </xdr:from>
    <xdr:ext cx="5810250" cy="2133600"/>
    <xdr:pic>
      <xdr:nvPicPr>
        <xdr:cNvPr id="2" name="image8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26</xdr:row>
      <xdr:rowOff>9525</xdr:rowOff>
    </xdr:from>
    <xdr:ext cx="6410325" cy="1352550"/>
    <xdr:pic>
      <xdr:nvPicPr>
        <xdr:cNvPr id="3" name="image18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0</xdr:row>
      <xdr:rowOff>152400</xdr:rowOff>
    </xdr:from>
    <xdr:ext cx="6200775" cy="274320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14</xdr:row>
      <xdr:rowOff>114300</xdr:rowOff>
    </xdr:from>
    <xdr:ext cx="5781675" cy="3267075"/>
    <xdr:pic>
      <xdr:nvPicPr>
        <xdr:cNvPr id="3" name="image9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3790950" cy="2619375"/>
    <xdr:pic>
      <xdr:nvPicPr>
        <xdr:cNvPr id="4" name="image3.jp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657225</xdr:colOff>
      <xdr:row>1</xdr:row>
      <xdr:rowOff>114300</xdr:rowOff>
    </xdr:from>
    <xdr:ext cx="3838575" cy="2743200"/>
    <xdr:graphicFrame macro="">
      <xdr:nvGraphicFramePr>
        <xdr:cNvPr id="641265901" name="Chart 5">
          <a:extLst>
            <a:ext uri="{FF2B5EF4-FFF2-40B4-BE49-F238E27FC236}">
              <a16:creationId xmlns:a16="http://schemas.microsoft.com/office/drawing/2014/main" id="{00000000-0008-0000-0600-0000EDF038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5</xdr:col>
      <xdr:colOff>66675</xdr:colOff>
      <xdr:row>16</xdr:row>
      <xdr:rowOff>190500</xdr:rowOff>
    </xdr:from>
    <xdr:ext cx="4171950" cy="4352925"/>
    <xdr:pic>
      <xdr:nvPicPr>
        <xdr:cNvPr id="2" name="image1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238125</xdr:colOff>
      <xdr:row>5</xdr:row>
      <xdr:rowOff>76200</xdr:rowOff>
    </xdr:from>
    <xdr:ext cx="4467225" cy="3305175"/>
    <xdr:graphicFrame macro="">
      <xdr:nvGraphicFramePr>
        <xdr:cNvPr id="1850584156" name="Chart 6">
          <a:extLst>
            <a:ext uri="{FF2B5EF4-FFF2-40B4-BE49-F238E27FC236}">
              <a16:creationId xmlns:a16="http://schemas.microsoft.com/office/drawing/2014/main" id="{00000000-0008-0000-0700-00005CAC4D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19050</xdr:colOff>
      <xdr:row>22</xdr:row>
      <xdr:rowOff>180975</xdr:rowOff>
    </xdr:from>
    <xdr:ext cx="4886325" cy="1524000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4</xdr:row>
      <xdr:rowOff>47625</xdr:rowOff>
    </xdr:from>
    <xdr:ext cx="5013325" cy="2743200"/>
    <xdr:graphicFrame macro="">
      <xdr:nvGraphicFramePr>
        <xdr:cNvPr id="229703555" name="Chart 7">
          <a:extLst>
            <a:ext uri="{FF2B5EF4-FFF2-40B4-BE49-F238E27FC236}">
              <a16:creationId xmlns:a16="http://schemas.microsoft.com/office/drawing/2014/main" id="{00000000-0008-0000-0800-000083FFB0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66674</xdr:colOff>
      <xdr:row>19</xdr:row>
      <xdr:rowOff>47625</xdr:rowOff>
    </xdr:from>
    <xdr:ext cx="3381376" cy="1438275"/>
    <xdr:pic>
      <xdr:nvPicPr>
        <xdr:cNvPr id="2" name="image13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82074" y="4029075"/>
          <a:ext cx="3381376" cy="143827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n%20simulation_12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12"/>
      <sheetName val="chap15"/>
      <sheetName val="chap16_24 hr"/>
      <sheetName val="chap22_PF simulation"/>
    </sheetNames>
    <sheetDataSet>
      <sheetData sheetId="0" refreshError="1"/>
      <sheetData sheetId="1" refreshError="1"/>
      <sheetData sheetId="2" refreshError="1"/>
      <sheetData sheetId="3">
        <row r="2">
          <cell r="D2">
            <v>2.61076644199618</v>
          </cell>
        </row>
        <row r="4">
          <cell r="R4">
            <v>8.4379162944544672E-2</v>
          </cell>
        </row>
        <row r="5">
          <cell r="G5">
            <v>0.10071942446043165</v>
          </cell>
          <cell r="R5">
            <v>2.9624972222222223</v>
          </cell>
        </row>
        <row r="6">
          <cell r="G6">
            <v>0.79082004248254778</v>
          </cell>
        </row>
        <row r="8">
          <cell r="G8">
            <v>1</v>
          </cell>
          <cell r="K8">
            <v>0.15997399327081341</v>
          </cell>
        </row>
        <row r="9">
          <cell r="G9">
            <v>0.117453231292517</v>
          </cell>
          <cell r="K9">
            <v>1.8789462432424405E-2</v>
          </cell>
          <cell r="R9">
            <v>6.2780257933607047</v>
          </cell>
        </row>
        <row r="10">
          <cell r="D10">
            <v>7.0000000000000007E-2</v>
          </cell>
          <cell r="G10">
            <v>9.8994949366116664E-2</v>
          </cell>
          <cell r="K10">
            <v>4.2189581472272336E-2</v>
          </cell>
        </row>
        <row r="11">
          <cell r="R11">
            <v>43.585423064280832</v>
          </cell>
        </row>
        <row r="12">
          <cell r="D12">
            <v>25</v>
          </cell>
          <cell r="G12">
            <v>1.1442099999999999</v>
          </cell>
          <cell r="H12">
            <v>65.812749999999994</v>
          </cell>
          <cell r="K12">
            <v>18.40764141037663</v>
          </cell>
          <cell r="R12">
            <v>0</v>
          </cell>
        </row>
        <row r="13">
          <cell r="D13">
            <v>5</v>
          </cell>
          <cell r="H13">
            <v>10.426080000000001</v>
          </cell>
          <cell r="K13">
            <v>2.7168891072355303</v>
          </cell>
        </row>
        <row r="14">
          <cell r="F14">
            <v>1799.5</v>
          </cell>
          <cell r="K14">
            <v>1060</v>
          </cell>
        </row>
        <row r="15">
          <cell r="F15">
            <v>733.00099999999998</v>
          </cell>
          <cell r="K15">
            <v>100</v>
          </cell>
          <cell r="T15">
            <v>0.1</v>
          </cell>
        </row>
        <row r="16">
          <cell r="K16">
            <v>306.03741496598639</v>
          </cell>
          <cell r="R16">
            <v>8000</v>
          </cell>
        </row>
        <row r="17">
          <cell r="K17">
            <v>3.1390128966803519</v>
          </cell>
          <cell r="R17">
            <v>80</v>
          </cell>
        </row>
        <row r="18">
          <cell r="R18">
            <v>176.03883800194441</v>
          </cell>
        </row>
        <row r="19">
          <cell r="D19">
            <v>10</v>
          </cell>
          <cell r="H19">
            <v>500</v>
          </cell>
          <cell r="R19">
            <v>800</v>
          </cell>
        </row>
        <row r="20">
          <cell r="D20">
            <v>10</v>
          </cell>
          <cell r="K20">
            <v>0.02</v>
          </cell>
        </row>
        <row r="21">
          <cell r="D21">
            <v>5</v>
          </cell>
          <cell r="H21">
            <v>0.02</v>
          </cell>
          <cell r="K21">
            <v>100</v>
          </cell>
        </row>
        <row r="23">
          <cell r="H23">
            <v>200</v>
          </cell>
        </row>
        <row r="24">
          <cell r="D24">
            <v>40</v>
          </cell>
        </row>
        <row r="25">
          <cell r="K25">
            <v>8000</v>
          </cell>
        </row>
        <row r="26">
          <cell r="D26">
            <v>80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Pn@Tl=10" TargetMode="External"/><Relationship Id="rId1" Type="http://schemas.openxmlformats.org/officeDocument/2006/relationships/hyperlink" Target="mailto:Pn@Tl=20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00"/>
  <sheetViews>
    <sheetView workbookViewId="0">
      <selection activeCell="E4" sqref="E4"/>
    </sheetView>
  </sheetViews>
  <sheetFormatPr defaultColWidth="11.21875" defaultRowHeight="15" customHeight="1"/>
  <cols>
    <col min="1" max="1" width="5.109375" customWidth="1"/>
    <col min="2" max="2" width="12" bestFit="1" customWidth="1"/>
    <col min="3" max="3" width="9.88671875" customWidth="1"/>
    <col min="4" max="4" width="8.109375" customWidth="1"/>
    <col min="5" max="5" width="8.44140625" style="240" customWidth="1"/>
    <col min="6" max="6" width="8.44140625" customWidth="1"/>
    <col min="7" max="7" width="6.77734375" customWidth="1"/>
    <col min="8" max="8" width="7.21875" customWidth="1"/>
    <col min="9" max="9" width="10.6640625" customWidth="1"/>
    <col min="10" max="10" width="12.88671875" customWidth="1"/>
    <col min="11" max="11" width="9.6640625" customWidth="1"/>
    <col min="12" max="16" width="6.77734375" customWidth="1"/>
    <col min="17" max="17" width="13.44140625" customWidth="1"/>
    <col min="18" max="18" width="15.88671875" customWidth="1"/>
    <col min="19" max="19" width="17.109375" customWidth="1"/>
    <col min="20" max="27" width="6.77734375" customWidth="1"/>
  </cols>
  <sheetData>
    <row r="1" spans="1:19" ht="16.5" customHeight="1" thickBot="1">
      <c r="H1" s="300" t="s">
        <v>0</v>
      </c>
      <c r="I1" s="301"/>
      <c r="J1" s="301"/>
      <c r="K1" s="302"/>
    </row>
    <row r="2" spans="1:19" ht="16.5" customHeight="1">
      <c r="B2" s="303" t="s">
        <v>1</v>
      </c>
      <c r="C2" s="304"/>
      <c r="D2" s="305" t="s">
        <v>2</v>
      </c>
      <c r="E2" s="306"/>
      <c r="F2" s="307"/>
      <c r="H2" s="308">
        <v>0.8</v>
      </c>
      <c r="I2" s="301"/>
      <c r="J2" s="301"/>
      <c r="K2" s="302"/>
    </row>
    <row r="3" spans="1:19" ht="39" customHeight="1">
      <c r="A3" s="242"/>
      <c r="B3" s="276" t="s">
        <v>370</v>
      </c>
      <c r="C3" s="272" t="s">
        <v>3</v>
      </c>
      <c r="D3" s="273" t="s">
        <v>375</v>
      </c>
      <c r="E3" s="278" t="s">
        <v>374</v>
      </c>
      <c r="F3" s="274" t="s">
        <v>373</v>
      </c>
      <c r="H3" s="275" t="s">
        <v>4</v>
      </c>
      <c r="I3" s="277" t="s">
        <v>371</v>
      </c>
      <c r="J3" s="277" t="s">
        <v>372</v>
      </c>
      <c r="K3" s="277" t="s">
        <v>376</v>
      </c>
      <c r="L3">
        <v>0</v>
      </c>
    </row>
    <row r="4" spans="1:19" ht="16.5" customHeight="1" thickBot="1">
      <c r="B4" s="261">
        <v>25</v>
      </c>
      <c r="C4" s="262">
        <v>0.8</v>
      </c>
      <c r="D4" s="264">
        <f>0.61078*EXP(17.269*$B$4/(237.3+$B$4))</f>
        <v>3.1673720930966622</v>
      </c>
      <c r="E4" s="279">
        <f>(2166/(273.16+$B$4))*$D$4</f>
        <v>23.009551762970787</v>
      </c>
      <c r="F4" s="263">
        <f>E4*C4</f>
        <v>18.40764141037663</v>
      </c>
      <c r="H4" s="1">
        <v>0</v>
      </c>
      <c r="I4" s="3">
        <f t="shared" ref="I4:I20" si="0">0.61078*EXP(17.269*H4/(237.3+H4))</f>
        <v>0.61077999999999999</v>
      </c>
      <c r="J4" s="3">
        <f>(2166/(273.16+H4))*I4</f>
        <v>4.8431303265485424</v>
      </c>
      <c r="K4" s="2">
        <f>J4*$H$2*1000</f>
        <v>3874.5042612388343</v>
      </c>
      <c r="Q4" s="2"/>
      <c r="R4" s="2"/>
      <c r="S4" s="3"/>
    </row>
    <row r="5" spans="1:19" ht="16.5" customHeight="1">
      <c r="H5" s="1">
        <v>5</v>
      </c>
      <c r="I5" s="3">
        <f t="shared" si="0"/>
        <v>0.87226439758614394</v>
      </c>
      <c r="J5" s="3">
        <f t="shared" ref="J5:J20" si="1">(2166/(273.16+H5))*I5</f>
        <v>6.7922227680888252</v>
      </c>
      <c r="K5" s="2">
        <f t="shared" ref="K5:K20" si="2">J5*$H$2*1000</f>
        <v>5433.7782144710609</v>
      </c>
      <c r="Q5" s="2"/>
      <c r="R5" s="2"/>
      <c r="S5" s="3"/>
    </row>
    <row r="6" spans="1:19" ht="16.5" customHeight="1">
      <c r="H6" s="1">
        <v>10</v>
      </c>
      <c r="I6" s="3">
        <f t="shared" si="0"/>
        <v>1.227872758855564</v>
      </c>
      <c r="J6" s="3">
        <f t="shared" si="1"/>
        <v>9.3924720853268511</v>
      </c>
      <c r="K6" s="2">
        <f t="shared" si="2"/>
        <v>7513.9776682614811</v>
      </c>
      <c r="Q6" s="2"/>
      <c r="R6" s="2"/>
      <c r="S6" s="3"/>
    </row>
    <row r="7" spans="1:19" ht="16.5" customHeight="1">
      <c r="H7" s="1">
        <v>15</v>
      </c>
      <c r="I7" s="3">
        <f t="shared" si="0"/>
        <v>1.705189010686335</v>
      </c>
      <c r="J7" s="3">
        <f t="shared" si="1"/>
        <v>12.817321616971824</v>
      </c>
      <c r="K7" s="2">
        <f t="shared" si="2"/>
        <v>10253.857293577461</v>
      </c>
      <c r="Q7" s="2"/>
      <c r="R7" s="2"/>
      <c r="S7" s="3"/>
    </row>
    <row r="8" spans="1:19" ht="16.5" customHeight="1">
      <c r="H8" s="1">
        <v>20</v>
      </c>
      <c r="I8" s="3">
        <f t="shared" si="0"/>
        <v>2.3380229641467558</v>
      </c>
      <c r="J8" s="3">
        <f t="shared" si="1"/>
        <v>17.27438170399056</v>
      </c>
      <c r="K8" s="2">
        <f t="shared" si="2"/>
        <v>13819.505363192447</v>
      </c>
      <c r="Q8" s="2"/>
      <c r="R8" s="2"/>
      <c r="S8" s="3"/>
    </row>
    <row r="9" spans="1:19" ht="16.5" customHeight="1">
      <c r="H9" s="1">
        <v>25</v>
      </c>
      <c r="I9" s="3">
        <f t="shared" si="0"/>
        <v>3.1673720930966622</v>
      </c>
      <c r="J9" s="3">
        <f>(2166/(273.16+H9))*I9</f>
        <v>23.009551762970787</v>
      </c>
      <c r="K9" s="2">
        <f t="shared" si="2"/>
        <v>18407.641410376629</v>
      </c>
      <c r="Q9" s="2"/>
      <c r="R9" s="2"/>
      <c r="S9" s="3"/>
    </row>
    <row r="10" spans="1:19" ht="16.5" customHeight="1">
      <c r="H10" s="1">
        <v>30</v>
      </c>
      <c r="I10" s="3">
        <f t="shared" si="0"/>
        <v>4.2424499525847468</v>
      </c>
      <c r="J10" s="3">
        <f t="shared" si="1"/>
        <v>30.311210572960022</v>
      </c>
      <c r="K10" s="2">
        <f t="shared" si="2"/>
        <v>24248.968458368017</v>
      </c>
      <c r="Q10" s="2"/>
      <c r="R10" s="2"/>
      <c r="S10" s="3"/>
    </row>
    <row r="11" spans="1:19" ht="16.5" customHeight="1">
      <c r="H11" s="1">
        <v>35</v>
      </c>
      <c r="I11" s="3">
        <f t="shared" si="0"/>
        <v>5.6217744901824149</v>
      </c>
      <c r="J11" s="3">
        <f t="shared" si="1"/>
        <v>39.514419605838235</v>
      </c>
      <c r="K11" s="2">
        <f t="shared" si="2"/>
        <v>31611.535684670587</v>
      </c>
      <c r="Q11" s="2"/>
      <c r="R11" s="2"/>
      <c r="S11" s="3"/>
    </row>
    <row r="12" spans="1:19" ht="16.5" customHeight="1">
      <c r="C12" s="1" t="s">
        <v>5</v>
      </c>
      <c r="H12" s="1">
        <v>40</v>
      </c>
      <c r="I12" s="3">
        <f t="shared" si="0"/>
        <v>7.3743082796635164</v>
      </c>
      <c r="J12" s="3">
        <f t="shared" si="1"/>
        <v>51.005082813102483</v>
      </c>
      <c r="K12" s="2">
        <f t="shared" si="2"/>
        <v>40804.066250481985</v>
      </c>
      <c r="Q12" s="2"/>
      <c r="R12" s="2"/>
      <c r="S12" s="3"/>
    </row>
    <row r="13" spans="1:19" ht="16.5" customHeight="1">
      <c r="H13" s="1">
        <v>45</v>
      </c>
      <c r="I13" s="3">
        <f t="shared" si="0"/>
        <v>9.5806416512511561</v>
      </c>
      <c r="J13" s="3">
        <f t="shared" si="1"/>
        <v>65.224006212628879</v>
      </c>
      <c r="K13" s="2">
        <f t="shared" si="2"/>
        <v>52179.204970103106</v>
      </c>
      <c r="Q13" s="2"/>
      <c r="R13" s="2"/>
      <c r="S13" s="3"/>
    </row>
    <row r="14" spans="1:19" ht="16.5" customHeight="1">
      <c r="H14" s="1">
        <v>50</v>
      </c>
      <c r="I14" s="3">
        <f t="shared" si="0"/>
        <v>12.334208825586851</v>
      </c>
      <c r="J14" s="3">
        <f t="shared" si="1"/>
        <v>82.670801820216354</v>
      </c>
      <c r="K14" s="2">
        <f t="shared" si="2"/>
        <v>66136.641456173078</v>
      </c>
      <c r="Q14" s="2"/>
      <c r="R14" s="2"/>
      <c r="S14" s="3"/>
    </row>
    <row r="15" spans="1:19" ht="16.5" customHeight="1">
      <c r="H15" s="1">
        <v>55</v>
      </c>
      <c r="I15" s="3">
        <f t="shared" si="0"/>
        <v>15.742526491879383</v>
      </c>
      <c r="J15" s="3">
        <f t="shared" si="1"/>
        <v>103.90758282974994</v>
      </c>
      <c r="K15" s="2">
        <f t="shared" si="2"/>
        <v>83126.066263799963</v>
      </c>
      <c r="Q15" s="2"/>
      <c r="R15" s="2"/>
      <c r="S15" s="3"/>
    </row>
    <row r="16" spans="1:19" ht="16.5" customHeight="1">
      <c r="H16" s="1">
        <v>60</v>
      </c>
      <c r="I16" s="3">
        <f t="shared" si="0"/>
        <v>19.928443809679802</v>
      </c>
      <c r="J16" s="3">
        <f t="shared" si="1"/>
        <v>129.56240032346756</v>
      </c>
      <c r="K16" s="2">
        <f t="shared" si="2"/>
        <v>103649.92025877404</v>
      </c>
      <c r="Q16" s="2"/>
      <c r="R16" s="2"/>
      <c r="S16" s="3"/>
    </row>
    <row r="17" spans="8:19" ht="16.5" customHeight="1">
      <c r="H17" s="1">
        <v>65</v>
      </c>
      <c r="I17" s="3">
        <f t="shared" si="0"/>
        <v>25.031392557430994</v>
      </c>
      <c r="J17" s="3">
        <f t="shared" si="1"/>
        <v>160.3323760332255</v>
      </c>
      <c r="K17" s="2">
        <f t="shared" si="2"/>
        <v>128265.9008265804</v>
      </c>
      <c r="Q17" s="2"/>
      <c r="R17" s="2"/>
      <c r="S17" s="3"/>
    </row>
    <row r="18" spans="8:19" ht="16.5" customHeight="1">
      <c r="H18" s="1">
        <v>70</v>
      </c>
      <c r="I18" s="3">
        <f t="shared" si="0"/>
        <v>31.208626092880799</v>
      </c>
      <c r="J18" s="3">
        <f t="shared" si="1"/>
        <v>196.9864906084037</v>
      </c>
      <c r="K18" s="2">
        <f t="shared" si="2"/>
        <v>157589.19248672295</v>
      </c>
      <c r="Q18" s="2"/>
      <c r="R18" s="2"/>
      <c r="S18" s="3"/>
    </row>
    <row r="19" spans="8:19" ht="16.5" customHeight="1">
      <c r="H19" s="1">
        <v>75</v>
      </c>
      <c r="I19" s="3">
        <f t="shared" si="0"/>
        <v>38.636435919533803</v>
      </c>
      <c r="J19" s="3">
        <f t="shared" si="1"/>
        <v>240.36799230730185</v>
      </c>
      <c r="K19" s="2">
        <f t="shared" si="2"/>
        <v>192294.39384584149</v>
      </c>
      <c r="Q19" s="2"/>
      <c r="R19" s="2"/>
      <c r="S19" s="3"/>
    </row>
    <row r="20" spans="8:19" ht="16.5" customHeight="1">
      <c r="H20" s="1">
        <v>80</v>
      </c>
      <c r="I20" s="3">
        <f t="shared" si="0"/>
        <v>47.511334954759342</v>
      </c>
      <c r="J20" s="3">
        <f t="shared" si="1"/>
        <v>291.39639685131027</v>
      </c>
      <c r="K20" s="2">
        <f t="shared" si="2"/>
        <v>233117.11748104825</v>
      </c>
      <c r="Q20" s="2"/>
      <c r="R20" s="2"/>
      <c r="S20" s="3"/>
    </row>
    <row r="21" spans="8:19" ht="16.5" customHeight="1"/>
    <row r="22" spans="8:19" ht="16.5" customHeight="1"/>
    <row r="23" spans="8:19" ht="16.5" customHeight="1"/>
    <row r="24" spans="8:19" ht="16.5" customHeight="1"/>
    <row r="25" spans="8:19" ht="16.5" customHeight="1"/>
    <row r="26" spans="8:19" ht="16.5" customHeight="1"/>
    <row r="27" spans="8:19" ht="16.5" customHeight="1"/>
    <row r="28" spans="8:19" ht="16.5" customHeight="1"/>
    <row r="29" spans="8:19" ht="16.5" customHeight="1"/>
    <row r="30" spans="8:19" ht="16.5" customHeight="1"/>
    <row r="31" spans="8:19" ht="16.5" customHeight="1"/>
    <row r="32" spans="8:19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4">
    <mergeCell ref="H1:K1"/>
    <mergeCell ref="B2:C2"/>
    <mergeCell ref="D2:F2"/>
    <mergeCell ref="H2:K2"/>
  </mergeCells>
  <phoneticPr fontId="27" type="noConversion"/>
  <pageMargins left="0.7" right="0.7" top="0.75" bottom="0.75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76C6F-7D2B-4F44-B6AE-B89D75466F97}">
  <dimension ref="A1:N51"/>
  <sheetViews>
    <sheetView topLeftCell="A16" workbookViewId="0">
      <selection sqref="A1:XFD1048576"/>
    </sheetView>
  </sheetViews>
  <sheetFormatPr defaultRowHeight="15.75"/>
  <cols>
    <col min="1" max="3" width="8.88671875" style="32"/>
    <col min="4" max="4" width="9.88671875" style="32" bestFit="1" customWidth="1"/>
    <col min="5" max="5" width="10.88671875" style="32" customWidth="1"/>
    <col min="6" max="6" width="9.88671875" style="32" bestFit="1" customWidth="1"/>
    <col min="7" max="7" width="4.6640625" style="32" customWidth="1"/>
    <col min="8" max="8" width="9.88671875" style="32" customWidth="1"/>
    <col min="9" max="9" width="9.21875" style="32" customWidth="1"/>
    <col min="10" max="10" width="10.88671875" style="32" customWidth="1"/>
    <col min="11" max="11" width="11.77734375" style="32" customWidth="1"/>
    <col min="12" max="12" width="10.21875" style="32" customWidth="1"/>
    <col min="13" max="13" width="10" style="32" customWidth="1"/>
    <col min="14" max="16384" width="8.88671875" style="32"/>
  </cols>
  <sheetData>
    <row r="1" spans="1:13" ht="16.5" thickBot="1">
      <c r="A1" s="32" t="s">
        <v>72</v>
      </c>
      <c r="B1" s="33">
        <v>2.3834877641408938</v>
      </c>
      <c r="C1" s="34"/>
      <c r="D1" s="32" t="s">
        <v>73</v>
      </c>
      <c r="E1" s="32">
        <f>B1*10000*3600/10^6</f>
        <v>85.805559509072168</v>
      </c>
      <c r="F1" s="32" t="s">
        <v>74</v>
      </c>
      <c r="H1" s="32" t="s">
        <v>75</v>
      </c>
      <c r="I1" s="35">
        <v>400</v>
      </c>
      <c r="J1" s="36" t="s">
        <v>76</v>
      </c>
      <c r="K1" s="37">
        <f>I1*1.83025</f>
        <v>732.1</v>
      </c>
    </row>
    <row r="2" spans="1:13">
      <c r="A2" s="32" t="s">
        <v>77</v>
      </c>
      <c r="B2" s="34"/>
      <c r="C2" s="32" t="s">
        <v>78</v>
      </c>
      <c r="D2" s="35">
        <v>20</v>
      </c>
      <c r="E2" s="32" t="s">
        <v>79</v>
      </c>
      <c r="F2" s="35">
        <v>25</v>
      </c>
      <c r="G2" s="32" t="s">
        <v>80</v>
      </c>
      <c r="H2" s="32">
        <v>5</v>
      </c>
      <c r="J2" s="38"/>
    </row>
    <row r="3" spans="1:13" ht="16.5" thickBot="1">
      <c r="C3" s="32" t="s">
        <v>81</v>
      </c>
      <c r="D3" s="32">
        <f>$D$2+H2</f>
        <v>25</v>
      </c>
      <c r="E3" s="32" t="s">
        <v>82</v>
      </c>
      <c r="F3" s="32">
        <f>$F$2+H2</f>
        <v>30</v>
      </c>
      <c r="G3" s="32" t="s">
        <v>83</v>
      </c>
      <c r="H3" s="34">
        <f>(2*D3^2*F3^2-D3^4)/F3^4</f>
        <v>0.90663580246913578</v>
      </c>
    </row>
    <row r="4" spans="1:13">
      <c r="A4" s="39"/>
      <c r="B4" s="40"/>
      <c r="C4" s="40" t="s">
        <v>84</v>
      </c>
      <c r="D4" s="41" t="s">
        <v>85</v>
      </c>
      <c r="E4" s="41" t="s">
        <v>86</v>
      </c>
      <c r="F4" s="42" t="s">
        <v>87</v>
      </c>
      <c r="H4" s="43" t="s">
        <v>88</v>
      </c>
      <c r="I4" s="44">
        <v>1</v>
      </c>
      <c r="J4" s="45" t="s">
        <v>89</v>
      </c>
      <c r="K4" s="43" t="s">
        <v>90</v>
      </c>
      <c r="L4" s="46" t="s">
        <v>91</v>
      </c>
      <c r="M4" s="47" t="s">
        <v>92</v>
      </c>
    </row>
    <row r="5" spans="1:13" ht="16.5" thickBot="1">
      <c r="A5" s="48" t="s">
        <v>93</v>
      </c>
      <c r="B5" s="49">
        <v>400</v>
      </c>
      <c r="C5" s="50"/>
      <c r="D5" s="49">
        <v>200</v>
      </c>
      <c r="E5" s="49">
        <v>200</v>
      </c>
      <c r="F5" s="51">
        <v>200</v>
      </c>
      <c r="G5" s="52"/>
      <c r="H5" s="53" t="s">
        <v>94</v>
      </c>
      <c r="I5" s="54">
        <f>IF(I4&gt;=1,100,200-(I4*100))</f>
        <v>100</v>
      </c>
      <c r="K5" s="55" t="s">
        <v>95</v>
      </c>
      <c r="L5" s="56" t="s">
        <v>95</v>
      </c>
      <c r="M5" s="57" t="s">
        <v>95</v>
      </c>
    </row>
    <row r="6" spans="1:13" ht="16.5" thickBot="1">
      <c r="A6" s="58"/>
      <c r="B6" s="59"/>
      <c r="C6" s="60" t="s">
        <v>96</v>
      </c>
      <c r="D6" s="61">
        <f>1/(1+D5/$B$5)</f>
        <v>0.66666666666666663</v>
      </c>
      <c r="E6" s="61">
        <f>1/(1+E5/$B$5)</f>
        <v>0.66666666666666663</v>
      </c>
      <c r="F6" s="62">
        <f>1/(1+F5/$B$5)</f>
        <v>0.66666666666666663</v>
      </c>
      <c r="G6" s="63"/>
      <c r="H6" s="64" t="s">
        <v>97</v>
      </c>
      <c r="I6" s="65">
        <f>1.65*I5</f>
        <v>165</v>
      </c>
      <c r="K6" s="66">
        <f>IF($B$5&gt;80,100,1000-$B$5*(1000-100)/80)</f>
        <v>100</v>
      </c>
      <c r="L6" s="67">
        <f>IF($B$5&gt;80,200,1200-$B$5*(1200-200)/80)</f>
        <v>200</v>
      </c>
      <c r="M6" s="68">
        <f>IF($B$5&gt;80,300,1400-$B$5*(1400-300)/80)</f>
        <v>300</v>
      </c>
    </row>
    <row r="7" spans="1:13" ht="16.5" thickBot="1">
      <c r="A7" s="69" t="s">
        <v>98</v>
      </c>
      <c r="B7" s="70"/>
      <c r="C7" s="70"/>
      <c r="D7" s="71">
        <f>$B$1*$H$3*D6</f>
        <v>1.4406368944781636</v>
      </c>
      <c r="E7" s="61">
        <f>B1*H3*E6</f>
        <v>1.4406368944781636</v>
      </c>
      <c r="F7" s="62">
        <f>$B$1*$H$3*F6</f>
        <v>1.4406368944781636</v>
      </c>
      <c r="K7" s="55" t="s">
        <v>99</v>
      </c>
      <c r="L7" s="56" t="s">
        <v>99</v>
      </c>
      <c r="M7" s="72" t="s">
        <v>99</v>
      </c>
    </row>
    <row r="8" spans="1:13" ht="16.5" thickBot="1">
      <c r="D8" s="73"/>
      <c r="E8" s="73"/>
      <c r="K8" s="74">
        <f>1.4*K6</f>
        <v>140</v>
      </c>
      <c r="L8" s="50">
        <f>1.4*L6</f>
        <v>280</v>
      </c>
      <c r="M8" s="75">
        <f>M6*1.4</f>
        <v>420</v>
      </c>
    </row>
    <row r="9" spans="1:13">
      <c r="A9" s="76" t="s">
        <v>100</v>
      </c>
      <c r="B9" s="77" t="s">
        <v>101</v>
      </c>
      <c r="C9" s="78" t="s">
        <v>102</v>
      </c>
      <c r="D9" s="79" t="s">
        <v>103</v>
      </c>
      <c r="E9" s="76"/>
      <c r="F9" s="80"/>
      <c r="I9" s="81" t="s">
        <v>104</v>
      </c>
      <c r="J9" s="82" t="s">
        <v>105</v>
      </c>
      <c r="K9" s="39" t="s">
        <v>106</v>
      </c>
      <c r="L9" s="40"/>
      <c r="M9" s="83"/>
    </row>
    <row r="10" spans="1:13">
      <c r="A10" s="84" t="s">
        <v>107</v>
      </c>
      <c r="B10" s="85">
        <v>440</v>
      </c>
      <c r="C10" s="86" t="s">
        <v>91</v>
      </c>
      <c r="D10" s="87">
        <f>$K$1+$B$10+K10*D7</f>
        <v>1862.6109838747598</v>
      </c>
      <c r="E10" s="88">
        <f>$K$1+$B$10+L10*E7</f>
        <v>2064.3001491017026</v>
      </c>
      <c r="F10" s="89">
        <f>$K$1+$B$10+M10*F7</f>
        <v>2265.9893143286454</v>
      </c>
      <c r="I10" s="84" t="s">
        <v>91</v>
      </c>
      <c r="J10" s="90">
        <f>1.4*J13</f>
        <v>174.3095238095238</v>
      </c>
      <c r="K10" s="91">
        <f>$I$6+K8+$J$10</f>
        <v>479.3095238095238</v>
      </c>
      <c r="L10" s="92">
        <f>$I$6+L8+$J$10</f>
        <v>619.30952380952385</v>
      </c>
      <c r="M10" s="93">
        <f>$I$6+M8+$J$10</f>
        <v>759.30952380952385</v>
      </c>
    </row>
    <row r="11" spans="1:13" ht="16.5" thickBot="1">
      <c r="A11" s="94" t="s">
        <v>108</v>
      </c>
      <c r="B11" s="95">
        <v>440</v>
      </c>
      <c r="C11" s="96" t="s">
        <v>90</v>
      </c>
      <c r="D11" s="97">
        <f>$K$1+$B$11+K11*D7</f>
        <v>1737.0526183452998</v>
      </c>
      <c r="E11" s="98">
        <f>$K$1+$B$11+L11*E7</f>
        <v>1938.7417835722426</v>
      </c>
      <c r="F11" s="99">
        <f>$K$1+$B$11+M11*F7</f>
        <v>2140.4309487991854</v>
      </c>
      <c r="I11" s="94" t="s">
        <v>90</v>
      </c>
      <c r="J11" s="100">
        <f>J14*1.4</f>
        <v>87.154761904761898</v>
      </c>
      <c r="K11" s="91">
        <f>$I$6+K8+$J$11</f>
        <v>392.15476190476193</v>
      </c>
      <c r="L11" s="92">
        <f>$I$6+L8+$J$11</f>
        <v>532.15476190476193</v>
      </c>
      <c r="M11" s="93">
        <f>$I$6+M8+$J$11</f>
        <v>672.15476190476193</v>
      </c>
    </row>
    <row r="12" spans="1:13" ht="16.5" thickBot="1">
      <c r="I12" s="101"/>
      <c r="J12" s="47" t="s">
        <v>109</v>
      </c>
      <c r="K12" s="40" t="s">
        <v>110</v>
      </c>
      <c r="L12" s="40"/>
      <c r="M12" s="83"/>
    </row>
    <row r="13" spans="1:13">
      <c r="B13" s="32" t="s">
        <v>111</v>
      </c>
      <c r="C13" s="102" t="s">
        <v>91</v>
      </c>
      <c r="D13" s="103">
        <f>K10</f>
        <v>479.3095238095238</v>
      </c>
      <c r="E13" s="103">
        <f t="shared" ref="E13:F14" si="0">L10</f>
        <v>619.30952380952385</v>
      </c>
      <c r="F13" s="104">
        <f t="shared" si="0"/>
        <v>759.30952380952385</v>
      </c>
      <c r="I13" s="84" t="s">
        <v>91</v>
      </c>
      <c r="J13" s="105">
        <f>IF(K1&gt;=2352,400,400*K1/2352)</f>
        <v>124.50680272108843</v>
      </c>
      <c r="K13" s="106">
        <f>$I$5+$J$13+K6</f>
        <v>324.50680272108843</v>
      </c>
      <c r="L13" s="106">
        <f>$I$5+$J$13+L6</f>
        <v>424.50680272108843</v>
      </c>
      <c r="M13" s="107">
        <f>$I$5+$J$13+M6</f>
        <v>524.50680272108843</v>
      </c>
    </row>
    <row r="14" spans="1:13" ht="16.5" thickBot="1">
      <c r="C14" s="102" t="s">
        <v>90</v>
      </c>
      <c r="D14" s="108">
        <f>K11</f>
        <v>392.15476190476193</v>
      </c>
      <c r="E14" s="108">
        <f t="shared" si="0"/>
        <v>532.15476190476193</v>
      </c>
      <c r="F14" s="109">
        <f t="shared" si="0"/>
        <v>672.15476190476193</v>
      </c>
      <c r="I14" s="94" t="s">
        <v>90</v>
      </c>
      <c r="J14" s="110">
        <f>IF(M1&gt;=2352,200,200*K1/2352)</f>
        <v>62.253401360544217</v>
      </c>
      <c r="K14" s="111">
        <f>$J$14+$I$5+K6</f>
        <v>262.25340136054422</v>
      </c>
      <c r="L14" s="111">
        <f>$J$14+$I$5+L6</f>
        <v>362.25340136054422</v>
      </c>
      <c r="M14" s="112">
        <f>$J$14+$I$5+M6</f>
        <v>462.25340136054422</v>
      </c>
    </row>
    <row r="15" spans="1:13">
      <c r="B15" s="32" t="s">
        <v>112</v>
      </c>
      <c r="C15" s="102"/>
    </row>
    <row r="16" spans="1:13">
      <c r="C16" s="102" t="s">
        <v>91</v>
      </c>
      <c r="D16" s="113">
        <f>4*$D$7*K10*$K$1</f>
        <v>2022092.3651788465</v>
      </c>
      <c r="E16" s="114">
        <f>4*$E$7*L10*$K$1</f>
        <v>2612718.9166294266</v>
      </c>
      <c r="F16" s="114">
        <f>4*$F$7*M10*$K$1</f>
        <v>3203345.4680800061</v>
      </c>
      <c r="G16" s="115"/>
      <c r="H16" s="32" t="s">
        <v>113</v>
      </c>
      <c r="J16" s="32" t="s">
        <v>114</v>
      </c>
      <c r="K16" s="73">
        <f>K17*0.4</f>
        <v>6.909752681596224</v>
      </c>
    </row>
    <row r="17" spans="1:14">
      <c r="C17" s="102" t="s">
        <v>90</v>
      </c>
      <c r="D17" s="113">
        <f>4*$D$7*K11*$K$1</f>
        <v>1654407.2475623761</v>
      </c>
      <c r="E17" s="114">
        <f>4*$E$7*L11*$K$1</f>
        <v>2245033.7990129557</v>
      </c>
      <c r="F17" s="114">
        <f>4*$F$7*M11*$K$1</f>
        <v>2835660.3504635352</v>
      </c>
      <c r="G17" s="115"/>
      <c r="H17" s="32" t="s">
        <v>115</v>
      </c>
      <c r="J17" s="32" t="s">
        <v>116</v>
      </c>
      <c r="K17" s="73">
        <f>2166*M17/(273.16+$D$2)</f>
        <v>17.27438170399056</v>
      </c>
      <c r="L17" s="102" t="s">
        <v>117</v>
      </c>
      <c r="M17" s="73">
        <f>0.61078 * EXP(17.269*$D$2/(237.3+$D$2))</f>
        <v>2.3380229641467558</v>
      </c>
    </row>
    <row r="18" spans="1:14">
      <c r="B18" s="32" t="s">
        <v>118</v>
      </c>
      <c r="C18" s="102"/>
      <c r="H18" s="32" t="s">
        <v>119</v>
      </c>
      <c r="J18" s="32" t="s">
        <v>120</v>
      </c>
      <c r="K18" s="73">
        <f>K17-K16</f>
        <v>10.364629022394336</v>
      </c>
      <c r="L18" s="32" t="s">
        <v>121</v>
      </c>
    </row>
    <row r="19" spans="1:14">
      <c r="C19" s="102" t="s">
        <v>91</v>
      </c>
      <c r="D19" s="116">
        <f t="shared" ref="D19:F20" si="1">SQRT(D10^2-D16)</f>
        <v>1203.0076109784402</v>
      </c>
      <c r="E19" s="88">
        <f t="shared" si="1"/>
        <v>1283.9844971618172</v>
      </c>
      <c r="F19" s="117">
        <f t="shared" si="1"/>
        <v>1389.7345446421048</v>
      </c>
      <c r="G19" s="106"/>
      <c r="K19" s="73">
        <f>K18*1000</f>
        <v>10364.629022394336</v>
      </c>
      <c r="L19" s="32" t="s">
        <v>122</v>
      </c>
    </row>
    <row r="20" spans="1:14" ht="16.5" thickBot="1">
      <c r="C20" s="102" t="s">
        <v>90</v>
      </c>
      <c r="D20" s="97">
        <f t="shared" si="1"/>
        <v>1167.4521623338089</v>
      </c>
      <c r="E20" s="98">
        <f t="shared" si="1"/>
        <v>1230.3194318370838</v>
      </c>
      <c r="F20" s="99">
        <f t="shared" si="1"/>
        <v>1321.2813084706247</v>
      </c>
      <c r="G20" s="118"/>
      <c r="K20" s="32" t="s">
        <v>90</v>
      </c>
      <c r="L20" s="32" t="s">
        <v>91</v>
      </c>
      <c r="M20" s="32" t="s">
        <v>92</v>
      </c>
    </row>
    <row r="21" spans="1:14">
      <c r="H21" s="32" t="s">
        <v>123</v>
      </c>
      <c r="I21" s="32" t="s">
        <v>124</v>
      </c>
      <c r="J21" s="102" t="s">
        <v>91</v>
      </c>
      <c r="K21" s="119">
        <f t="shared" ref="K21:M22" si="2">$K$19/K13</f>
        <v>31.939635580776006</v>
      </c>
      <c r="L21" s="120">
        <f t="shared" si="2"/>
        <v>24.415695946347782</v>
      </c>
      <c r="M21" s="121">
        <f t="shared" si="2"/>
        <v>19.760714195933563</v>
      </c>
    </row>
    <row r="22" spans="1:14" ht="16.5" thickBot="1">
      <c r="B22" s="32" t="s">
        <v>125</v>
      </c>
      <c r="C22" s="102"/>
      <c r="E22" s="118"/>
      <c r="F22" s="118"/>
      <c r="G22" s="118"/>
      <c r="I22" s="122" t="s">
        <v>126</v>
      </c>
      <c r="J22" s="102" t="s">
        <v>90</v>
      </c>
      <c r="K22" s="123">
        <f t="shared" si="2"/>
        <v>39.521428391867126</v>
      </c>
      <c r="L22" s="124">
        <f t="shared" si="2"/>
        <v>28.611543696945468</v>
      </c>
      <c r="M22" s="125">
        <f t="shared" si="2"/>
        <v>22.421963779797537</v>
      </c>
    </row>
    <row r="23" spans="1:14">
      <c r="A23" s="32" t="s">
        <v>127</v>
      </c>
      <c r="C23" s="102" t="s">
        <v>91</v>
      </c>
      <c r="D23" s="190">
        <f t="shared" ref="D23:F24" si="3">(D10-D19)/2/D13</f>
        <v>0.68807663955206955</v>
      </c>
      <c r="E23" s="294">
        <f t="shared" si="3"/>
        <v>0.62998841608310296</v>
      </c>
      <c r="F23" s="295">
        <f t="shared" si="3"/>
        <v>0.57700762482886558</v>
      </c>
      <c r="H23" s="32" t="s">
        <v>128</v>
      </c>
    </row>
    <row r="24" spans="1:14">
      <c r="C24" s="102" t="s">
        <v>90</v>
      </c>
      <c r="D24" s="192">
        <f t="shared" si="3"/>
        <v>0.72624447201003661</v>
      </c>
      <c r="E24" s="100">
        <f t="shared" si="3"/>
        <v>0.6656168491281329</v>
      </c>
      <c r="F24" s="296">
        <f t="shared" si="3"/>
        <v>0.60934600686844986</v>
      </c>
      <c r="G24" s="126"/>
    </row>
    <row r="25" spans="1:14">
      <c r="D25" s="73"/>
      <c r="E25" s="73"/>
    </row>
    <row r="26" spans="1:14">
      <c r="A26" s="32" t="s">
        <v>129</v>
      </c>
      <c r="C26" s="127" t="s">
        <v>84</v>
      </c>
      <c r="D26" s="128" t="s">
        <v>90</v>
      </c>
      <c r="E26" s="128" t="s">
        <v>91</v>
      </c>
      <c r="F26" s="128" t="s">
        <v>92</v>
      </c>
      <c r="G26" s="126"/>
    </row>
    <row r="27" spans="1:14">
      <c r="B27" s="45" t="s">
        <v>130</v>
      </c>
      <c r="C27" s="129" t="s">
        <v>91</v>
      </c>
      <c r="D27" s="113">
        <v>0.69</v>
      </c>
      <c r="E27" s="130">
        <v>0.63</v>
      </c>
      <c r="F27" s="78">
        <v>0.57999999999999996</v>
      </c>
    </row>
    <row r="28" spans="1:14">
      <c r="A28" s="32" t="s">
        <v>131</v>
      </c>
      <c r="C28" s="64" t="s">
        <v>90</v>
      </c>
      <c r="D28" s="113">
        <v>0.73</v>
      </c>
      <c r="E28" s="130">
        <v>0.67</v>
      </c>
      <c r="F28" s="78">
        <v>0.61</v>
      </c>
    </row>
    <row r="29" spans="1:14">
      <c r="D29" s="73"/>
      <c r="E29" s="73"/>
      <c r="F29" s="131"/>
    </row>
    <row r="30" spans="1:14">
      <c r="A30" s="32" t="s">
        <v>132</v>
      </c>
      <c r="E30" s="132" t="s">
        <v>133</v>
      </c>
    </row>
    <row r="31" spans="1:14">
      <c r="K31" s="132"/>
    </row>
    <row r="32" spans="1:14">
      <c r="K32" s="132" t="s">
        <v>134</v>
      </c>
      <c r="L32" s="32" t="s">
        <v>90</v>
      </c>
      <c r="M32" s="32" t="s">
        <v>91</v>
      </c>
      <c r="N32" s="32" t="s">
        <v>92</v>
      </c>
    </row>
    <row r="33" spans="11:14">
      <c r="K33" s="133" t="s">
        <v>91</v>
      </c>
      <c r="L33" s="32">
        <v>140</v>
      </c>
      <c r="M33" s="32">
        <v>280</v>
      </c>
      <c r="N33" s="32">
        <v>420</v>
      </c>
    </row>
    <row r="34" spans="11:14">
      <c r="K34" s="133" t="s">
        <v>90</v>
      </c>
      <c r="L34" s="32">
        <v>140</v>
      </c>
      <c r="M34" s="32">
        <v>280</v>
      </c>
      <c r="N34" s="32">
        <v>420</v>
      </c>
    </row>
    <row r="35" spans="11:14">
      <c r="K35" s="132"/>
    </row>
    <row r="36" spans="11:14">
      <c r="K36" s="132" t="s">
        <v>135</v>
      </c>
      <c r="L36" s="32">
        <v>165</v>
      </c>
    </row>
    <row r="37" spans="11:14">
      <c r="K37" s="132"/>
    </row>
    <row r="38" spans="11:14">
      <c r="K38" s="132" t="s">
        <v>136</v>
      </c>
    </row>
    <row r="39" spans="11:14">
      <c r="K39" s="133" t="s">
        <v>91</v>
      </c>
      <c r="L39" s="32">
        <v>174.3</v>
      </c>
      <c r="M39" s="32">
        <v>174.3</v>
      </c>
      <c r="N39" s="32">
        <v>174.3</v>
      </c>
    </row>
    <row r="40" spans="11:14">
      <c r="K40" s="133" t="s">
        <v>90</v>
      </c>
      <c r="L40" s="32">
        <v>87.2</v>
      </c>
      <c r="M40" s="32">
        <v>87.2</v>
      </c>
      <c r="N40" s="32">
        <v>87.2</v>
      </c>
    </row>
    <row r="42" spans="11:14">
      <c r="K42" s="32" t="s">
        <v>137</v>
      </c>
      <c r="L42" s="32">
        <f>$L$36+L33+L39</f>
        <v>479.3</v>
      </c>
      <c r="M42" s="32">
        <f t="shared" ref="M42:N43" si="4">$L$36+M33+M39</f>
        <v>619.29999999999995</v>
      </c>
      <c r="N42" s="32">
        <f t="shared" si="4"/>
        <v>759.3</v>
      </c>
    </row>
    <row r="43" spans="11:14">
      <c r="L43" s="32">
        <f>$L$36+L34+L40</f>
        <v>392.2</v>
      </c>
      <c r="M43" s="32">
        <f t="shared" si="4"/>
        <v>532.20000000000005</v>
      </c>
      <c r="N43" s="32">
        <f t="shared" si="4"/>
        <v>672.2</v>
      </c>
    </row>
    <row r="44" spans="11:14" ht="16.5" thickBot="1"/>
    <row r="45" spans="11:14">
      <c r="K45" s="134" t="s">
        <v>93</v>
      </c>
      <c r="L45" s="135" t="s">
        <v>138</v>
      </c>
      <c r="M45" s="136" t="s">
        <v>139</v>
      </c>
    </row>
    <row r="46" spans="11:14">
      <c r="K46" s="137">
        <v>200</v>
      </c>
      <c r="L46" s="50">
        <v>0.28699999999999998</v>
      </c>
      <c r="M46" s="138">
        <v>0.52</v>
      </c>
    </row>
    <row r="47" spans="11:14">
      <c r="K47" s="137">
        <v>400</v>
      </c>
      <c r="L47" s="50">
        <v>0.36599999999999999</v>
      </c>
      <c r="M47" s="138">
        <v>0.63</v>
      </c>
    </row>
    <row r="48" spans="11:14">
      <c r="K48" s="137">
        <v>600</v>
      </c>
      <c r="L48" s="50">
        <v>0.40300000000000002</v>
      </c>
      <c r="M48" s="138">
        <v>0.67</v>
      </c>
    </row>
    <row r="49" spans="11:13">
      <c r="K49" s="137">
        <v>800</v>
      </c>
      <c r="L49" s="50">
        <v>0.42399999999999999</v>
      </c>
      <c r="M49" s="138">
        <v>0.69399999999999995</v>
      </c>
    </row>
    <row r="50" spans="11:13">
      <c r="K50" s="137">
        <v>1000</v>
      </c>
      <c r="L50" s="50">
        <v>0.438</v>
      </c>
      <c r="M50" s="138">
        <v>0.70899999999999996</v>
      </c>
    </row>
    <row r="51" spans="11:13" ht="16.5" thickBot="1">
      <c r="K51" s="139">
        <v>1200</v>
      </c>
      <c r="L51" s="59">
        <v>0.44800000000000001</v>
      </c>
      <c r="M51" s="140">
        <v>0.72</v>
      </c>
    </row>
  </sheetData>
  <phoneticPr fontId="27" type="noConversion"/>
  <hyperlinks>
    <hyperlink ref="M45" r:id="rId1" xr:uid="{7161D67A-E0DE-4EC9-818F-0B37D910ABDB}"/>
    <hyperlink ref="L45" r:id="rId2" xr:uid="{36CE85E0-9FBA-4CBE-AD67-63DEE2D9C43B}"/>
  </hyperlinks>
  <pageMargins left="0.7" right="0.7" top="0.75" bottom="0.75" header="0.3" footer="0.3"/>
  <pageSetup paperSize="9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4CF47-8407-42CC-BD74-8DB37C4ED7FA}">
  <dimension ref="B1:L1000"/>
  <sheetViews>
    <sheetView workbookViewId="0">
      <selection activeCell="F8" sqref="F8"/>
    </sheetView>
  </sheetViews>
  <sheetFormatPr defaultColWidth="11.21875" defaultRowHeight="15.75"/>
  <cols>
    <col min="1" max="2" width="13.21875" style="227" bestFit="1" customWidth="1"/>
    <col min="3" max="3" width="13.21875" style="227" customWidth="1"/>
    <col min="4" max="4" width="13.5546875" style="227" customWidth="1"/>
    <col min="5" max="6" width="6.77734375" style="227" customWidth="1"/>
    <col min="7" max="7" width="7.109375" style="227" bestFit="1" customWidth="1"/>
    <col min="8" max="8" width="6.77734375" style="227" customWidth="1"/>
    <col min="9" max="9" width="13.5546875" style="227" bestFit="1" customWidth="1"/>
    <col min="10" max="10" width="15" style="227" bestFit="1" customWidth="1"/>
    <col min="11" max="12" width="7.77734375" style="227" bestFit="1" customWidth="1"/>
    <col min="13" max="13" width="14.44140625" style="227" customWidth="1"/>
    <col min="14" max="26" width="6.77734375" style="227" customWidth="1"/>
    <col min="27" max="16384" width="11.21875" style="227"/>
  </cols>
  <sheetData>
    <row r="1" spans="2:12" ht="16.5" customHeight="1" thickBot="1"/>
    <row r="2" spans="2:12" ht="16.5" customHeight="1">
      <c r="B2" s="363" t="s">
        <v>65</v>
      </c>
      <c r="C2" s="364"/>
      <c r="D2" s="364"/>
      <c r="E2" s="366" t="s">
        <v>66</v>
      </c>
      <c r="F2" s="366"/>
      <c r="G2" s="367"/>
      <c r="I2" s="227" t="s">
        <v>309</v>
      </c>
    </row>
    <row r="3" spans="2:12" ht="16.5" customHeight="1">
      <c r="B3" s="365" t="s">
        <v>300</v>
      </c>
      <c r="C3" s="360" t="s">
        <v>302</v>
      </c>
      <c r="D3" s="360" t="s">
        <v>303</v>
      </c>
      <c r="E3" s="358" t="s">
        <v>304</v>
      </c>
      <c r="F3" s="358"/>
      <c r="G3" s="368" t="s">
        <v>307</v>
      </c>
      <c r="H3"/>
      <c r="I3" s="360" t="s">
        <v>303</v>
      </c>
      <c r="J3" s="358" t="s">
        <v>304</v>
      </c>
      <c r="K3" s="359" t="s">
        <v>310</v>
      </c>
      <c r="L3" s="359" t="s">
        <v>311</v>
      </c>
    </row>
    <row r="4" spans="2:12" ht="16.5" customHeight="1">
      <c r="B4" s="365"/>
      <c r="C4" s="360"/>
      <c r="D4" s="360"/>
      <c r="E4" s="358"/>
      <c r="F4" s="358"/>
      <c r="G4" s="368"/>
      <c r="H4"/>
      <c r="I4" s="360"/>
      <c r="J4" s="358"/>
      <c r="K4" s="359"/>
      <c r="L4" s="359"/>
    </row>
    <row r="5" spans="2:12" ht="16.5" customHeight="1" thickBot="1">
      <c r="B5" s="233" t="s">
        <v>306</v>
      </c>
      <c r="C5" s="234">
        <v>0</v>
      </c>
      <c r="D5" s="235">
        <v>1000</v>
      </c>
      <c r="E5" s="361">
        <f>D5*44.01/22.4*273/(273+C5)</f>
        <v>1964.7321428571429</v>
      </c>
      <c r="F5" s="362"/>
      <c r="G5" s="237">
        <f>IF(B5="C4",0,IF(E5&gt;=2352,0,(-C7/C8)*(E5-C8)))</f>
        <v>8.2327350583090375E-2</v>
      </c>
      <c r="I5" s="238">
        <v>0</v>
      </c>
      <c r="J5" s="238">
        <f t="shared" ref="J5:J18" si="0">I5*44.01/22.4</f>
        <v>0</v>
      </c>
      <c r="K5" s="239">
        <f t="shared" ref="K5:K18" si="1">IF(J5&gt;=2352,0,(-$C$7/$C$8)*(J5-$C$8))</f>
        <v>0.5</v>
      </c>
      <c r="L5" s="231">
        <v>0</v>
      </c>
    </row>
    <row r="6" spans="2:12" ht="16.5" customHeight="1">
      <c r="B6" s="228"/>
      <c r="C6" s="228"/>
      <c r="D6" s="229"/>
      <c r="I6" s="238">
        <v>100</v>
      </c>
      <c r="J6" s="238">
        <f t="shared" si="0"/>
        <v>196.47321428571431</v>
      </c>
      <c r="K6" s="239">
        <f t="shared" si="1"/>
        <v>0.45823273505830903</v>
      </c>
      <c r="L6" s="231">
        <v>0</v>
      </c>
    </row>
    <row r="7" spans="2:12" ht="16.5" customHeight="1">
      <c r="B7" s="228" t="s">
        <v>305</v>
      </c>
      <c r="C7" s="228">
        <v>0.5</v>
      </c>
      <c r="D7" s="229"/>
      <c r="I7" s="238">
        <v>200</v>
      </c>
      <c r="J7" s="238">
        <f t="shared" si="0"/>
        <v>392.94642857142861</v>
      </c>
      <c r="K7" s="239">
        <f t="shared" si="1"/>
        <v>0.41646547011661805</v>
      </c>
      <c r="L7" s="231">
        <v>0</v>
      </c>
    </row>
    <row r="8" spans="2:12" ht="18.75">
      <c r="B8" s="228" t="s">
        <v>308</v>
      </c>
      <c r="C8" s="236">
        <v>2352</v>
      </c>
      <c r="D8" s="229"/>
      <c r="I8" s="238">
        <v>300</v>
      </c>
      <c r="J8" s="238">
        <f t="shared" si="0"/>
        <v>589.41964285714289</v>
      </c>
      <c r="K8" s="239">
        <f t="shared" si="1"/>
        <v>0.37469820517492708</v>
      </c>
      <c r="L8" s="231">
        <v>0</v>
      </c>
    </row>
    <row r="9" spans="2:12" ht="16.5" customHeight="1">
      <c r="B9" s="228"/>
      <c r="C9" s="228"/>
      <c r="D9" s="229"/>
      <c r="I9" s="238">
        <v>400</v>
      </c>
      <c r="J9" s="238">
        <f t="shared" si="0"/>
        <v>785.89285714285722</v>
      </c>
      <c r="K9" s="239">
        <f t="shared" si="1"/>
        <v>0.33293094023323611</v>
      </c>
      <c r="L9" s="231">
        <v>0</v>
      </c>
    </row>
    <row r="10" spans="2:12" ht="16.5" customHeight="1">
      <c r="B10" s="228"/>
      <c r="C10" s="228"/>
      <c r="D10" s="229"/>
      <c r="I10" s="238">
        <v>500</v>
      </c>
      <c r="J10" s="238">
        <f t="shared" si="0"/>
        <v>982.36607142857144</v>
      </c>
      <c r="K10" s="239">
        <f>IF(J10&gt;=2352,0,(-$C$7/$C$8)*(J10-$C$8))</f>
        <v>0.29116367529154513</v>
      </c>
      <c r="L10" s="231">
        <v>0</v>
      </c>
    </row>
    <row r="11" spans="2:12" ht="16.5" customHeight="1">
      <c r="B11" s="228"/>
      <c r="C11" s="228"/>
      <c r="D11" s="229"/>
      <c r="I11" s="238">
        <v>600</v>
      </c>
      <c r="J11" s="238">
        <f t="shared" si="0"/>
        <v>1178.8392857142858</v>
      </c>
      <c r="K11" s="239">
        <f t="shared" si="1"/>
        <v>0.24939641034985421</v>
      </c>
      <c r="L11" s="231">
        <v>0</v>
      </c>
    </row>
    <row r="12" spans="2:12" ht="16.5" customHeight="1">
      <c r="B12" s="228"/>
      <c r="C12" s="228"/>
      <c r="D12" s="229"/>
      <c r="I12" s="238">
        <v>700</v>
      </c>
      <c r="J12" s="238">
        <f t="shared" si="0"/>
        <v>1375.3125</v>
      </c>
      <c r="K12" s="239">
        <f t="shared" si="1"/>
        <v>0.20762914540816327</v>
      </c>
      <c r="L12" s="231">
        <v>0</v>
      </c>
    </row>
    <row r="13" spans="2:12" ht="16.5" customHeight="1">
      <c r="B13" s="228"/>
      <c r="C13" s="228"/>
      <c r="D13" s="229"/>
      <c r="I13" s="238">
        <v>800</v>
      </c>
      <c r="J13" s="238">
        <f t="shared" si="0"/>
        <v>1571.7857142857144</v>
      </c>
      <c r="K13" s="239">
        <f t="shared" si="1"/>
        <v>0.16586188046647227</v>
      </c>
      <c r="L13" s="231">
        <v>0</v>
      </c>
    </row>
    <row r="14" spans="2:12" ht="16.5" customHeight="1">
      <c r="B14" s="228"/>
      <c r="C14" s="228"/>
      <c r="D14" s="229"/>
      <c r="I14" s="238">
        <v>900</v>
      </c>
      <c r="J14" s="238">
        <f t="shared" si="0"/>
        <v>1768.2589285714287</v>
      </c>
      <c r="K14" s="239">
        <f t="shared" si="1"/>
        <v>0.12409461552478132</v>
      </c>
      <c r="L14" s="231">
        <v>0</v>
      </c>
    </row>
    <row r="15" spans="2:12" ht="16.5" customHeight="1">
      <c r="B15" s="228"/>
      <c r="C15" s="228"/>
      <c r="D15" s="229"/>
      <c r="I15" s="238">
        <v>1000</v>
      </c>
      <c r="J15" s="238">
        <f t="shared" si="0"/>
        <v>1964.7321428571429</v>
      </c>
      <c r="K15" s="239">
        <f t="shared" si="1"/>
        <v>8.2327350583090375E-2</v>
      </c>
      <c r="L15" s="231">
        <v>0</v>
      </c>
    </row>
    <row r="16" spans="2:12" ht="16.5" customHeight="1">
      <c r="B16" s="228"/>
      <c r="C16" s="228"/>
      <c r="D16" s="229"/>
      <c r="I16" s="238">
        <v>1100</v>
      </c>
      <c r="J16" s="238">
        <f t="shared" si="0"/>
        <v>2161.2053571428573</v>
      </c>
      <c r="K16" s="239">
        <f t="shared" si="1"/>
        <v>4.0560085641399374E-2</v>
      </c>
      <c r="L16" s="231">
        <v>0</v>
      </c>
    </row>
    <row r="17" spans="2:12" ht="16.5" customHeight="1">
      <c r="B17" s="228"/>
      <c r="C17" s="228"/>
      <c r="D17" s="229"/>
      <c r="I17" s="238">
        <v>1200</v>
      </c>
      <c r="J17" s="238">
        <f t="shared" si="0"/>
        <v>2357.6785714285716</v>
      </c>
      <c r="K17" s="239">
        <f t="shared" si="1"/>
        <v>0</v>
      </c>
      <c r="L17" s="231">
        <v>0</v>
      </c>
    </row>
    <row r="18" spans="2:12" ht="16.5" customHeight="1">
      <c r="B18" s="228"/>
      <c r="C18" s="228"/>
      <c r="D18" s="229"/>
      <c r="I18" s="238">
        <v>1300</v>
      </c>
      <c r="J18" s="238">
        <f t="shared" si="0"/>
        <v>2554.1517857142858</v>
      </c>
      <c r="K18" s="239">
        <f t="shared" si="1"/>
        <v>0</v>
      </c>
      <c r="L18" s="231">
        <v>0</v>
      </c>
    </row>
    <row r="19" spans="2:12" ht="16.5" customHeight="1">
      <c r="B19" s="228"/>
      <c r="C19" s="228"/>
      <c r="D19" s="229"/>
      <c r="I19"/>
      <c r="J19"/>
    </row>
    <row r="20" spans="2:12" ht="16.5" customHeight="1">
      <c r="B20" s="228"/>
      <c r="C20" s="228"/>
      <c r="D20" s="229"/>
      <c r="I20"/>
      <c r="J20"/>
    </row>
    <row r="21" spans="2:12" ht="16.5" customHeight="1">
      <c r="B21" s="228"/>
      <c r="C21" s="228"/>
      <c r="D21" s="229"/>
      <c r="I21"/>
      <c r="J21"/>
    </row>
    <row r="22" spans="2:12" ht="16.5" customHeight="1">
      <c r="B22" s="228"/>
      <c r="C22" s="228"/>
      <c r="D22" s="229"/>
      <c r="I22"/>
      <c r="J22"/>
    </row>
    <row r="23" spans="2:12" ht="16.5" customHeight="1">
      <c r="B23" s="228"/>
      <c r="C23" s="228"/>
      <c r="D23" s="229"/>
      <c r="I23"/>
      <c r="J23"/>
    </row>
    <row r="24" spans="2:12" ht="16.5" customHeight="1">
      <c r="B24" s="228"/>
      <c r="C24" s="228"/>
      <c r="D24" s="229"/>
      <c r="I24"/>
      <c r="J24"/>
    </row>
    <row r="25" spans="2:12" ht="16.5" customHeight="1">
      <c r="B25" s="228"/>
      <c r="C25" s="228"/>
      <c r="D25" s="229"/>
      <c r="I25"/>
      <c r="J25"/>
    </row>
    <row r="26" spans="2:12" ht="16.5" customHeight="1">
      <c r="B26" s="228"/>
      <c r="C26" s="228"/>
      <c r="D26" s="229"/>
      <c r="I26"/>
      <c r="J26"/>
    </row>
    <row r="27" spans="2:12" ht="16.5" customHeight="1">
      <c r="B27" s="228"/>
      <c r="C27" s="228"/>
      <c r="D27" s="229"/>
      <c r="I27"/>
      <c r="J27"/>
    </row>
    <row r="28" spans="2:12" ht="16.5" customHeight="1">
      <c r="B28" s="228"/>
      <c r="C28" s="228"/>
      <c r="D28" s="229"/>
      <c r="I28"/>
      <c r="J28"/>
    </row>
    <row r="29" spans="2:12" ht="16.5" customHeight="1">
      <c r="B29" s="228"/>
      <c r="C29" s="228"/>
      <c r="D29" s="229"/>
      <c r="I29"/>
      <c r="J29"/>
    </row>
    <row r="30" spans="2:12" ht="16.5" customHeight="1">
      <c r="B30" s="228"/>
      <c r="C30" s="228"/>
      <c r="D30" s="229"/>
      <c r="I30"/>
      <c r="J30"/>
    </row>
    <row r="31" spans="2:12" ht="16.5" customHeight="1">
      <c r="B31" s="228"/>
      <c r="C31" s="228"/>
      <c r="D31" s="229"/>
      <c r="I31"/>
      <c r="J31"/>
    </row>
    <row r="32" spans="2:12" ht="16.5" customHeight="1">
      <c r="B32" s="228"/>
      <c r="C32" s="228"/>
      <c r="D32" s="229"/>
      <c r="I32"/>
      <c r="J32"/>
    </row>
    <row r="33" spans="2:4" ht="16.5" customHeight="1">
      <c r="B33" s="228"/>
      <c r="C33" s="228"/>
      <c r="D33" s="229"/>
    </row>
    <row r="34" spans="2:4" ht="16.5" customHeight="1">
      <c r="B34" s="228"/>
      <c r="C34" s="228"/>
      <c r="D34" s="229"/>
    </row>
    <row r="35" spans="2:4" ht="16.5" customHeight="1">
      <c r="B35" s="228"/>
      <c r="C35" s="228"/>
      <c r="D35" s="229"/>
    </row>
    <row r="36" spans="2:4" ht="16.5" customHeight="1">
      <c r="B36" s="228"/>
      <c r="C36" s="228"/>
      <c r="D36" s="229"/>
    </row>
    <row r="37" spans="2:4" ht="16.5" customHeight="1">
      <c r="B37" s="228"/>
      <c r="C37" s="228"/>
      <c r="D37" s="229"/>
    </row>
    <row r="38" spans="2:4" ht="16.5" customHeight="1">
      <c r="B38" s="228"/>
      <c r="C38" s="228"/>
      <c r="D38" s="229"/>
    </row>
    <row r="39" spans="2:4" ht="16.5" customHeight="1">
      <c r="B39" s="228"/>
      <c r="C39" s="228"/>
      <c r="D39" s="229"/>
    </row>
    <row r="40" spans="2:4" ht="16.5" customHeight="1">
      <c r="B40" s="228"/>
      <c r="C40" s="228"/>
      <c r="D40" s="229"/>
    </row>
    <row r="41" spans="2:4" ht="16.5" customHeight="1">
      <c r="B41" s="228"/>
      <c r="C41" s="228"/>
      <c r="D41" s="229"/>
    </row>
    <row r="42" spans="2:4" ht="16.5" customHeight="1">
      <c r="B42" s="228"/>
      <c r="C42" s="228"/>
      <c r="D42" s="229"/>
    </row>
    <row r="43" spans="2:4" ht="16.5" customHeight="1">
      <c r="B43" s="228"/>
      <c r="C43" s="228"/>
      <c r="D43" s="229"/>
    </row>
    <row r="44" spans="2:4" ht="16.5" customHeight="1">
      <c r="B44" s="228"/>
      <c r="C44" s="228"/>
      <c r="D44" s="229"/>
    </row>
    <row r="45" spans="2:4" ht="16.5" customHeight="1">
      <c r="B45" s="228"/>
      <c r="C45" s="228"/>
      <c r="D45" s="229"/>
    </row>
    <row r="46" spans="2:4" ht="16.5" customHeight="1">
      <c r="B46" s="228"/>
      <c r="C46" s="228"/>
      <c r="D46" s="229"/>
    </row>
    <row r="47" spans="2:4" ht="16.5" customHeight="1">
      <c r="B47" s="228"/>
      <c r="C47" s="228"/>
      <c r="D47" s="229"/>
    </row>
    <row r="48" spans="2:4" ht="16.5" customHeight="1">
      <c r="B48" s="228"/>
      <c r="C48" s="228"/>
      <c r="D48" s="229"/>
    </row>
    <row r="49" spans="2:4" ht="16.5" customHeight="1">
      <c r="B49" s="228"/>
      <c r="C49" s="228"/>
      <c r="D49" s="229"/>
    </row>
    <row r="50" spans="2:4" ht="16.5" customHeight="1">
      <c r="B50" s="228"/>
      <c r="C50" s="228"/>
      <c r="D50" s="229"/>
    </row>
    <row r="51" spans="2:4" ht="16.5" customHeight="1">
      <c r="B51" s="228"/>
      <c r="C51" s="228"/>
      <c r="D51" s="229"/>
    </row>
    <row r="52" spans="2:4" ht="16.5" customHeight="1">
      <c r="B52" s="228"/>
      <c r="C52" s="228"/>
      <c r="D52" s="229"/>
    </row>
    <row r="53" spans="2:4" ht="16.5" customHeight="1">
      <c r="B53" s="228"/>
      <c r="C53" s="228"/>
      <c r="D53" s="229"/>
    </row>
    <row r="54" spans="2:4" ht="16.5" customHeight="1">
      <c r="B54" s="228"/>
      <c r="C54" s="228"/>
      <c r="D54" s="229"/>
    </row>
    <row r="55" spans="2:4" ht="16.5" customHeight="1">
      <c r="B55" s="228"/>
      <c r="C55" s="228"/>
      <c r="D55" s="229"/>
    </row>
    <row r="56" spans="2:4" ht="16.5" customHeight="1">
      <c r="B56" s="228"/>
      <c r="C56" s="228"/>
      <c r="D56" s="229"/>
    </row>
    <row r="57" spans="2:4" ht="16.5" customHeight="1">
      <c r="B57" s="228"/>
      <c r="C57" s="228"/>
      <c r="D57" s="229"/>
    </row>
    <row r="58" spans="2:4" ht="16.5" customHeight="1">
      <c r="B58" s="228"/>
      <c r="C58" s="228"/>
      <c r="D58" s="229"/>
    </row>
    <row r="59" spans="2:4" ht="16.5" customHeight="1">
      <c r="B59" s="228"/>
      <c r="C59" s="228"/>
      <c r="D59" s="229"/>
    </row>
    <row r="60" spans="2:4" ht="16.5" customHeight="1">
      <c r="B60" s="228"/>
      <c r="C60" s="228"/>
      <c r="D60" s="229"/>
    </row>
    <row r="61" spans="2:4" ht="16.5" customHeight="1">
      <c r="B61" s="228"/>
      <c r="C61" s="228"/>
      <c r="D61" s="229"/>
    </row>
    <row r="62" spans="2:4" ht="16.5" customHeight="1">
      <c r="B62" s="228"/>
      <c r="C62" s="228"/>
      <c r="D62" s="229"/>
    </row>
    <row r="63" spans="2:4" ht="16.5" customHeight="1">
      <c r="B63" s="228"/>
      <c r="C63" s="228"/>
      <c r="D63" s="229"/>
    </row>
    <row r="64" spans="2:4" ht="16.5" customHeight="1">
      <c r="B64" s="228"/>
      <c r="C64" s="228"/>
      <c r="D64" s="229"/>
    </row>
    <row r="65" spans="2:4" ht="16.5" customHeight="1">
      <c r="B65" s="228"/>
      <c r="C65" s="228"/>
      <c r="D65" s="229"/>
    </row>
    <row r="66" spans="2:4" ht="16.5" customHeight="1">
      <c r="B66" s="228"/>
      <c r="C66" s="228"/>
      <c r="D66" s="229"/>
    </row>
    <row r="67" spans="2:4" ht="16.5" customHeight="1">
      <c r="B67" s="228"/>
      <c r="C67" s="228"/>
      <c r="D67" s="229"/>
    </row>
    <row r="68" spans="2:4" ht="16.5" customHeight="1">
      <c r="B68" s="228"/>
      <c r="C68" s="228"/>
      <c r="D68" s="229"/>
    </row>
    <row r="69" spans="2:4" ht="16.5" customHeight="1">
      <c r="B69" s="228"/>
      <c r="C69" s="228"/>
      <c r="D69" s="229"/>
    </row>
    <row r="70" spans="2:4" ht="16.5" customHeight="1">
      <c r="B70" s="228"/>
      <c r="C70" s="228"/>
      <c r="D70" s="229"/>
    </row>
    <row r="71" spans="2:4" ht="16.5" customHeight="1">
      <c r="B71" s="228"/>
      <c r="C71" s="228"/>
      <c r="D71" s="229"/>
    </row>
    <row r="72" spans="2:4" ht="16.5" customHeight="1">
      <c r="B72" s="228"/>
      <c r="C72" s="228"/>
      <c r="D72" s="229"/>
    </row>
    <row r="73" spans="2:4" ht="16.5" customHeight="1">
      <c r="B73" s="228"/>
      <c r="C73" s="228"/>
      <c r="D73" s="229"/>
    </row>
    <row r="74" spans="2:4" ht="16.5" customHeight="1">
      <c r="B74" s="228"/>
      <c r="C74" s="228"/>
      <c r="D74" s="229"/>
    </row>
    <row r="75" spans="2:4" ht="16.5" customHeight="1">
      <c r="B75" s="228"/>
      <c r="C75" s="228"/>
      <c r="D75" s="229"/>
    </row>
    <row r="76" spans="2:4" ht="16.5" customHeight="1">
      <c r="B76" s="228"/>
      <c r="C76" s="228"/>
      <c r="D76" s="229"/>
    </row>
    <row r="77" spans="2:4" ht="16.5" customHeight="1">
      <c r="B77" s="228"/>
      <c r="C77" s="228"/>
      <c r="D77" s="229"/>
    </row>
    <row r="78" spans="2:4" ht="16.5" customHeight="1">
      <c r="B78" s="228"/>
      <c r="C78" s="228"/>
      <c r="D78" s="229"/>
    </row>
    <row r="79" spans="2:4" ht="16.5" customHeight="1">
      <c r="B79" s="228"/>
      <c r="C79" s="228"/>
      <c r="D79" s="229"/>
    </row>
    <row r="80" spans="2:4" ht="16.5" customHeight="1">
      <c r="B80" s="228"/>
      <c r="C80" s="228"/>
      <c r="D80" s="229"/>
    </row>
    <row r="81" spans="2:4" ht="16.5" customHeight="1">
      <c r="B81" s="228"/>
      <c r="C81" s="228"/>
      <c r="D81" s="229"/>
    </row>
    <row r="82" spans="2:4" ht="16.5" customHeight="1">
      <c r="B82" s="228"/>
      <c r="C82" s="228"/>
      <c r="D82" s="229"/>
    </row>
    <row r="83" spans="2:4" ht="16.5" customHeight="1">
      <c r="B83" s="228"/>
      <c r="C83" s="228"/>
      <c r="D83" s="229"/>
    </row>
    <row r="84" spans="2:4" ht="16.5" customHeight="1">
      <c r="B84" s="228"/>
      <c r="C84" s="228"/>
      <c r="D84" s="229"/>
    </row>
    <row r="85" spans="2:4" ht="16.5" customHeight="1">
      <c r="B85" s="228"/>
      <c r="C85" s="228"/>
      <c r="D85" s="229"/>
    </row>
    <row r="86" spans="2:4" ht="16.5" customHeight="1">
      <c r="B86" s="228"/>
      <c r="C86" s="228"/>
      <c r="D86" s="229"/>
    </row>
    <row r="87" spans="2:4" ht="16.5" customHeight="1">
      <c r="B87" s="228"/>
      <c r="C87" s="228"/>
      <c r="D87" s="229"/>
    </row>
    <row r="88" spans="2:4" ht="16.5" customHeight="1">
      <c r="B88" s="228"/>
      <c r="C88" s="228"/>
      <c r="D88" s="229"/>
    </row>
    <row r="89" spans="2:4" ht="16.5" customHeight="1">
      <c r="B89" s="228"/>
      <c r="C89" s="228"/>
      <c r="D89" s="229"/>
    </row>
    <row r="90" spans="2:4" ht="16.5" customHeight="1">
      <c r="B90" s="228"/>
      <c r="C90" s="228"/>
      <c r="D90" s="229"/>
    </row>
    <row r="91" spans="2:4" ht="16.5" customHeight="1"/>
    <row r="92" spans="2:4" ht="16.5" customHeight="1"/>
    <row r="93" spans="2:4" ht="16.5" customHeight="1"/>
    <row r="94" spans="2:4" ht="16.5" customHeight="1"/>
    <row r="95" spans="2:4" ht="16.5" customHeight="1"/>
    <row r="96" spans="2:4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12">
    <mergeCell ref="C3:C4"/>
    <mergeCell ref="B2:D2"/>
    <mergeCell ref="B3:B4"/>
    <mergeCell ref="D3:D4"/>
    <mergeCell ref="E3:F4"/>
    <mergeCell ref="E2:G2"/>
    <mergeCell ref="G3:G4"/>
    <mergeCell ref="J3:J4"/>
    <mergeCell ref="K3:K4"/>
    <mergeCell ref="L3:L4"/>
    <mergeCell ref="I3:I4"/>
    <mergeCell ref="E5:F5"/>
  </mergeCells>
  <phoneticPr fontId="27" type="noConversion"/>
  <dataValidations count="1">
    <dataValidation type="list" allowBlank="1" showInputMessage="1" showErrorMessage="1" sqref="B5" xr:uid="{F1B383D0-7308-4D4D-9400-1E315C3DAD1A}">
      <formula1>"C3,C4"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7D1A0-9E12-4E9D-A6C5-EA972F0C8015}">
  <dimension ref="B1:H1000"/>
  <sheetViews>
    <sheetView topLeftCell="A3" workbookViewId="0">
      <selection activeCell="L6" sqref="L6"/>
    </sheetView>
  </sheetViews>
  <sheetFormatPr defaultColWidth="11.21875" defaultRowHeight="15.75"/>
  <cols>
    <col min="1" max="1" width="6.44140625" style="227" customWidth="1"/>
    <col min="2" max="2" width="13.21875" style="227" bestFit="1" customWidth="1"/>
    <col min="3" max="3" width="13.21875" style="227" customWidth="1"/>
    <col min="4" max="4" width="15" style="227" bestFit="1" customWidth="1"/>
    <col min="5" max="6" width="6.77734375" style="227" customWidth="1"/>
    <col min="7" max="7" width="15" style="227" bestFit="1" customWidth="1"/>
    <col min="8" max="8" width="14.44140625" style="227" customWidth="1"/>
    <col min="9" max="21" width="6.77734375" style="227" customWidth="1"/>
    <col min="22" max="16384" width="11.21875" style="227"/>
  </cols>
  <sheetData>
    <row r="1" spans="2:8" ht="16.5" customHeight="1" thickBot="1"/>
    <row r="2" spans="2:8" ht="16.5" customHeight="1">
      <c r="B2" s="363" t="s">
        <v>65</v>
      </c>
      <c r="C2" s="364"/>
      <c r="D2" s="232" t="s">
        <v>66</v>
      </c>
      <c r="G2" s="227" t="s">
        <v>316</v>
      </c>
    </row>
    <row r="3" spans="2:8" ht="16.5" customHeight="1">
      <c r="B3" s="365" t="s">
        <v>313</v>
      </c>
      <c r="C3" s="360" t="s">
        <v>302</v>
      </c>
      <c r="D3" s="369" t="s">
        <v>312</v>
      </c>
      <c r="E3" s="230"/>
      <c r="F3" s="230"/>
      <c r="G3" s="360" t="s">
        <v>302</v>
      </c>
      <c r="H3" s="358" t="s">
        <v>312</v>
      </c>
    </row>
    <row r="4" spans="2:8" ht="16.5" customHeight="1">
      <c r="B4" s="371"/>
      <c r="C4" s="360"/>
      <c r="D4" s="370"/>
      <c r="E4" s="230"/>
      <c r="F4" s="230"/>
      <c r="G4" s="360"/>
      <c r="H4" s="358"/>
    </row>
    <row r="5" spans="2:8" ht="16.5" customHeight="1" thickBot="1">
      <c r="B5" s="292">
        <v>7.0000000000000007E-2</v>
      </c>
      <c r="C5" s="293">
        <v>0</v>
      </c>
      <c r="D5" s="246">
        <f>B5*C8^((C5-20)/10)</f>
        <v>1.7500000000000002E-2</v>
      </c>
      <c r="G5" s="238">
        <v>0</v>
      </c>
      <c r="H5" s="245">
        <f>0.07*2^((G5-20)/10)</f>
        <v>1.7500000000000002E-2</v>
      </c>
    </row>
    <row r="6" spans="2:8" ht="16.5" customHeight="1">
      <c r="B6" s="228"/>
      <c r="C6" s="244" t="s">
        <v>314</v>
      </c>
      <c r="G6" s="238">
        <v>5</v>
      </c>
      <c r="H6" s="245">
        <f t="shared" ref="H6:H13" si="0">0.07*2^((G6-20)/10)</f>
        <v>2.4748737341529166E-2</v>
      </c>
    </row>
    <row r="7" spans="2:8" ht="16.5" customHeight="1">
      <c r="C7" s="228"/>
      <c r="G7" s="238">
        <v>10</v>
      </c>
      <c r="H7" s="245">
        <f t="shared" si="0"/>
        <v>3.5000000000000003E-2</v>
      </c>
    </row>
    <row r="8" spans="2:8" ht="18.75">
      <c r="B8" s="228" t="s">
        <v>315</v>
      </c>
      <c r="C8" s="291">
        <v>2</v>
      </c>
      <c r="G8" s="238">
        <v>15</v>
      </c>
      <c r="H8" s="245">
        <f t="shared" si="0"/>
        <v>4.9497474683058325E-2</v>
      </c>
    </row>
    <row r="9" spans="2:8" ht="16.5" customHeight="1">
      <c r="B9" s="228"/>
      <c r="C9" s="228"/>
      <c r="G9" s="238">
        <v>20</v>
      </c>
      <c r="H9" s="245">
        <f t="shared" si="0"/>
        <v>7.0000000000000007E-2</v>
      </c>
    </row>
    <row r="10" spans="2:8" ht="16.5" customHeight="1">
      <c r="B10" s="228"/>
      <c r="C10" s="228"/>
      <c r="G10" s="238">
        <v>25</v>
      </c>
      <c r="H10" s="245">
        <f t="shared" si="0"/>
        <v>9.8994949366116664E-2</v>
      </c>
    </row>
    <row r="11" spans="2:8" ht="16.5" customHeight="1">
      <c r="B11" s="228"/>
      <c r="C11" s="228"/>
      <c r="G11" s="238">
        <v>30</v>
      </c>
      <c r="H11" s="245">
        <f t="shared" si="0"/>
        <v>0.14000000000000001</v>
      </c>
    </row>
    <row r="12" spans="2:8" ht="16.5" customHeight="1">
      <c r="B12" s="228"/>
      <c r="C12" s="228"/>
      <c r="G12" s="238">
        <v>35</v>
      </c>
      <c r="H12" s="245">
        <f t="shared" si="0"/>
        <v>0.1979898987322333</v>
      </c>
    </row>
    <row r="13" spans="2:8" ht="16.5" customHeight="1">
      <c r="B13" s="228"/>
      <c r="C13" s="228"/>
      <c r="G13" s="238">
        <v>40</v>
      </c>
      <c r="H13" s="245">
        <f t="shared" si="0"/>
        <v>0.28000000000000003</v>
      </c>
    </row>
    <row r="14" spans="2:8" ht="16.5" customHeight="1">
      <c r="B14" s="228"/>
      <c r="C14" s="228"/>
      <c r="G14"/>
      <c r="H14"/>
    </row>
    <row r="15" spans="2:8" ht="16.5" customHeight="1">
      <c r="B15" s="228"/>
      <c r="C15" s="228"/>
      <c r="G15"/>
      <c r="H15"/>
    </row>
    <row r="16" spans="2:8" ht="16.5" customHeight="1">
      <c r="B16" s="228"/>
      <c r="C16" s="228"/>
      <c r="G16"/>
      <c r="H16"/>
    </row>
    <row r="17" spans="2:8" ht="16.5" customHeight="1">
      <c r="B17" s="228"/>
      <c r="C17" s="228"/>
      <c r="G17"/>
      <c r="H17"/>
    </row>
    <row r="18" spans="2:8" ht="16.5" customHeight="1">
      <c r="B18" s="228"/>
      <c r="C18" s="228"/>
      <c r="G18"/>
      <c r="H18"/>
    </row>
    <row r="19" spans="2:8" ht="16.5" customHeight="1">
      <c r="B19" s="228"/>
      <c r="C19" s="228"/>
      <c r="G19" s="230"/>
    </row>
    <row r="20" spans="2:8" ht="16.5" customHeight="1">
      <c r="B20" s="228"/>
      <c r="C20" s="228"/>
      <c r="G20" s="230"/>
    </row>
    <row r="21" spans="2:8" ht="16.5" customHeight="1">
      <c r="B21" s="228"/>
      <c r="C21" s="228"/>
      <c r="G21" s="230"/>
    </row>
    <row r="22" spans="2:8" ht="16.5" customHeight="1">
      <c r="B22" s="228"/>
      <c r="C22" s="228"/>
      <c r="G22" s="230"/>
    </row>
    <row r="23" spans="2:8" ht="16.5" customHeight="1">
      <c r="B23" s="228"/>
      <c r="C23" s="228"/>
      <c r="G23" s="230"/>
    </row>
    <row r="24" spans="2:8" ht="16.5" customHeight="1">
      <c r="B24" s="228"/>
      <c r="C24" s="228"/>
      <c r="G24" s="230"/>
    </row>
    <row r="25" spans="2:8" ht="16.5" customHeight="1">
      <c r="B25" s="228"/>
      <c r="C25" s="228"/>
      <c r="G25" s="230"/>
    </row>
    <row r="26" spans="2:8" ht="16.5" customHeight="1">
      <c r="B26" s="228"/>
      <c r="C26" s="228"/>
      <c r="G26" s="230"/>
    </row>
    <row r="27" spans="2:8" ht="16.5" customHeight="1">
      <c r="B27" s="228"/>
      <c r="C27" s="228"/>
      <c r="G27" s="230"/>
    </row>
    <row r="28" spans="2:8" ht="16.5" customHeight="1">
      <c r="B28" s="228"/>
      <c r="C28" s="228"/>
      <c r="G28" s="230"/>
    </row>
    <row r="29" spans="2:8" ht="16.5" customHeight="1">
      <c r="B29" s="228"/>
      <c r="C29" s="228"/>
      <c r="G29" s="230"/>
    </row>
    <row r="30" spans="2:8" ht="16.5" customHeight="1">
      <c r="B30" s="228"/>
      <c r="C30" s="228"/>
      <c r="G30" s="230"/>
    </row>
    <row r="31" spans="2:8" ht="16.5" customHeight="1">
      <c r="B31" s="228"/>
      <c r="C31" s="228"/>
      <c r="G31" s="230"/>
    </row>
    <row r="32" spans="2:8" ht="16.5" customHeight="1">
      <c r="B32" s="228"/>
      <c r="C32" s="228"/>
      <c r="G32" s="230"/>
    </row>
    <row r="33" spans="2:3" ht="16.5" customHeight="1">
      <c r="B33" s="228"/>
      <c r="C33" s="228"/>
    </row>
    <row r="34" spans="2:3" ht="16.5" customHeight="1">
      <c r="B34" s="228"/>
      <c r="C34" s="228"/>
    </row>
    <row r="35" spans="2:3" ht="16.5" customHeight="1">
      <c r="B35" s="228"/>
      <c r="C35" s="228"/>
    </row>
    <row r="36" spans="2:3" ht="16.5" customHeight="1">
      <c r="B36" s="228"/>
      <c r="C36" s="228"/>
    </row>
    <row r="37" spans="2:3" ht="16.5" customHeight="1">
      <c r="B37" s="228"/>
      <c r="C37" s="228"/>
    </row>
    <row r="38" spans="2:3" ht="16.5" customHeight="1">
      <c r="B38" s="228"/>
      <c r="C38" s="228"/>
    </row>
    <row r="39" spans="2:3" ht="16.5" customHeight="1">
      <c r="B39" s="228"/>
      <c r="C39" s="228"/>
    </row>
    <row r="40" spans="2:3" ht="16.5" customHeight="1">
      <c r="B40" s="228"/>
      <c r="C40" s="228"/>
    </row>
    <row r="41" spans="2:3" ht="16.5" customHeight="1">
      <c r="B41" s="228"/>
      <c r="C41" s="228"/>
    </row>
    <row r="42" spans="2:3" ht="16.5" customHeight="1">
      <c r="B42" s="228"/>
      <c r="C42" s="228"/>
    </row>
    <row r="43" spans="2:3" ht="16.5" customHeight="1">
      <c r="B43" s="228"/>
      <c r="C43" s="228"/>
    </row>
    <row r="44" spans="2:3" ht="16.5" customHeight="1">
      <c r="B44" s="228"/>
      <c r="C44" s="228"/>
    </row>
    <row r="45" spans="2:3" ht="16.5" customHeight="1">
      <c r="B45" s="228"/>
      <c r="C45" s="228"/>
    </row>
    <row r="46" spans="2:3" ht="16.5" customHeight="1">
      <c r="B46" s="228"/>
      <c r="C46" s="228"/>
    </row>
    <row r="47" spans="2:3" ht="16.5" customHeight="1">
      <c r="B47" s="228"/>
      <c r="C47" s="228"/>
    </row>
    <row r="48" spans="2:3" ht="16.5" customHeight="1">
      <c r="B48" s="228"/>
      <c r="C48" s="228"/>
    </row>
    <row r="49" spans="2:3" ht="16.5" customHeight="1">
      <c r="B49" s="228"/>
      <c r="C49" s="228"/>
    </row>
    <row r="50" spans="2:3" ht="16.5" customHeight="1">
      <c r="B50" s="228"/>
      <c r="C50" s="228"/>
    </row>
    <row r="51" spans="2:3" ht="16.5" customHeight="1">
      <c r="B51" s="228"/>
      <c r="C51" s="228"/>
    </row>
    <row r="52" spans="2:3" ht="16.5" customHeight="1">
      <c r="B52" s="228"/>
      <c r="C52" s="228"/>
    </row>
    <row r="53" spans="2:3" ht="16.5" customHeight="1">
      <c r="B53" s="228"/>
      <c r="C53" s="228"/>
    </row>
    <row r="54" spans="2:3" ht="16.5" customHeight="1">
      <c r="B54" s="228"/>
      <c r="C54" s="228"/>
    </row>
    <row r="55" spans="2:3" ht="16.5" customHeight="1">
      <c r="B55" s="228"/>
      <c r="C55" s="228"/>
    </row>
    <row r="56" spans="2:3" ht="16.5" customHeight="1">
      <c r="B56" s="228"/>
      <c r="C56" s="228"/>
    </row>
    <row r="57" spans="2:3" ht="16.5" customHeight="1">
      <c r="B57" s="228"/>
      <c r="C57" s="228"/>
    </row>
    <row r="58" spans="2:3" ht="16.5" customHeight="1">
      <c r="B58" s="228"/>
      <c r="C58" s="228"/>
    </row>
    <row r="59" spans="2:3" ht="16.5" customHeight="1">
      <c r="B59" s="228"/>
      <c r="C59" s="228"/>
    </row>
    <row r="60" spans="2:3" ht="16.5" customHeight="1">
      <c r="B60" s="228"/>
      <c r="C60" s="228"/>
    </row>
    <row r="61" spans="2:3" ht="16.5" customHeight="1">
      <c r="B61" s="228"/>
      <c r="C61" s="228"/>
    </row>
    <row r="62" spans="2:3" ht="16.5" customHeight="1">
      <c r="B62" s="228"/>
      <c r="C62" s="228"/>
    </row>
    <row r="63" spans="2:3" ht="16.5" customHeight="1">
      <c r="B63" s="228"/>
      <c r="C63" s="228"/>
    </row>
    <row r="64" spans="2:3" ht="16.5" customHeight="1">
      <c r="B64" s="228"/>
      <c r="C64" s="228"/>
    </row>
    <row r="65" spans="2:3" ht="16.5" customHeight="1">
      <c r="B65" s="228"/>
      <c r="C65" s="228"/>
    </row>
    <row r="66" spans="2:3" ht="16.5" customHeight="1">
      <c r="B66" s="228"/>
      <c r="C66" s="228"/>
    </row>
    <row r="67" spans="2:3" ht="16.5" customHeight="1">
      <c r="B67" s="228"/>
      <c r="C67" s="228"/>
    </row>
    <row r="68" spans="2:3" ht="16.5" customHeight="1">
      <c r="B68" s="228"/>
      <c r="C68" s="228"/>
    </row>
    <row r="69" spans="2:3" ht="16.5" customHeight="1">
      <c r="B69" s="228"/>
      <c r="C69" s="228"/>
    </row>
    <row r="70" spans="2:3" ht="16.5" customHeight="1">
      <c r="B70" s="228"/>
      <c r="C70" s="228"/>
    </row>
    <row r="71" spans="2:3" ht="16.5" customHeight="1">
      <c r="B71" s="228"/>
      <c r="C71" s="228"/>
    </row>
    <row r="72" spans="2:3" ht="16.5" customHeight="1">
      <c r="B72" s="228"/>
      <c r="C72" s="228"/>
    </row>
    <row r="73" spans="2:3" ht="16.5" customHeight="1">
      <c r="B73" s="228"/>
      <c r="C73" s="228"/>
    </row>
    <row r="74" spans="2:3" ht="16.5" customHeight="1">
      <c r="B74" s="228"/>
      <c r="C74" s="228"/>
    </row>
    <row r="75" spans="2:3" ht="16.5" customHeight="1">
      <c r="B75" s="228"/>
      <c r="C75" s="228"/>
    </row>
    <row r="76" spans="2:3" ht="16.5" customHeight="1">
      <c r="B76" s="228"/>
      <c r="C76" s="228"/>
    </row>
    <row r="77" spans="2:3" ht="16.5" customHeight="1">
      <c r="B77" s="228"/>
      <c r="C77" s="228"/>
    </row>
    <row r="78" spans="2:3" ht="16.5" customHeight="1">
      <c r="B78" s="228"/>
      <c r="C78" s="228"/>
    </row>
    <row r="79" spans="2:3" ht="16.5" customHeight="1">
      <c r="B79" s="228"/>
      <c r="C79" s="228"/>
    </row>
    <row r="80" spans="2:3" ht="16.5" customHeight="1">
      <c r="B80" s="228"/>
      <c r="C80" s="228"/>
    </row>
    <row r="81" spans="2:3" ht="16.5" customHeight="1">
      <c r="B81" s="228"/>
      <c r="C81" s="228"/>
    </row>
    <row r="82" spans="2:3" ht="16.5" customHeight="1">
      <c r="B82" s="228"/>
      <c r="C82" s="228"/>
    </row>
    <row r="83" spans="2:3" ht="16.5" customHeight="1">
      <c r="B83" s="228"/>
      <c r="C83" s="228"/>
    </row>
    <row r="84" spans="2:3" ht="16.5" customHeight="1">
      <c r="B84" s="228"/>
      <c r="C84" s="228"/>
    </row>
    <row r="85" spans="2:3" ht="16.5" customHeight="1">
      <c r="B85" s="228"/>
      <c r="C85" s="228"/>
    </row>
    <row r="86" spans="2:3" ht="16.5" customHeight="1">
      <c r="B86" s="228"/>
      <c r="C86" s="228"/>
    </row>
    <row r="87" spans="2:3" ht="16.5" customHeight="1">
      <c r="B87" s="228"/>
      <c r="C87" s="228"/>
    </row>
    <row r="88" spans="2:3" ht="16.5" customHeight="1">
      <c r="B88" s="228"/>
      <c r="C88" s="228"/>
    </row>
    <row r="89" spans="2:3" ht="16.5" customHeight="1">
      <c r="B89" s="228"/>
      <c r="C89" s="228"/>
    </row>
    <row r="90" spans="2:3" ht="16.5" customHeight="1">
      <c r="B90" s="228"/>
      <c r="C90" s="228"/>
    </row>
    <row r="91" spans="2:3" ht="16.5" customHeight="1"/>
    <row r="92" spans="2:3" ht="16.5" customHeight="1"/>
    <row r="93" spans="2:3" ht="16.5" customHeight="1"/>
    <row r="94" spans="2:3" ht="16.5" customHeight="1"/>
    <row r="95" spans="2:3" ht="16.5" customHeight="1"/>
    <row r="96" spans="2:3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6">
    <mergeCell ref="G3:G4"/>
    <mergeCell ref="H3:H4"/>
    <mergeCell ref="D3:D4"/>
    <mergeCell ref="B2:C2"/>
    <mergeCell ref="B3:B4"/>
    <mergeCell ref="C3:C4"/>
  </mergeCells>
  <phoneticPr fontId="27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0117E-644D-4FE1-AA97-113230A1D134}">
  <dimension ref="A1:P49"/>
  <sheetViews>
    <sheetView zoomScale="88" zoomScaleNormal="106" workbookViewId="0">
      <selection activeCell="I51" sqref="I51"/>
    </sheetView>
  </sheetViews>
  <sheetFormatPr defaultColWidth="8.88671875" defaultRowHeight="15.75"/>
  <cols>
    <col min="1" max="4" width="8.88671875" style="32"/>
    <col min="5" max="5" width="10.88671875" style="32" customWidth="1"/>
    <col min="6" max="6" width="9.88671875" style="32" bestFit="1" customWidth="1"/>
    <col min="7" max="7" width="9.44140625" style="32" bestFit="1" customWidth="1"/>
    <col min="8" max="8" width="9.88671875" style="32" customWidth="1"/>
    <col min="9" max="9" width="9.21875" style="32" customWidth="1"/>
    <col min="10" max="10" width="10.88671875" style="32" customWidth="1"/>
    <col min="11" max="11" width="11.77734375" style="32" customWidth="1"/>
    <col min="12" max="12" width="10.21875" style="32" customWidth="1"/>
    <col min="13" max="13" width="10" style="32" customWidth="1"/>
    <col min="14" max="14" width="8.88671875" style="32"/>
    <col min="15" max="15" width="8.109375" style="32" bestFit="1" customWidth="1"/>
    <col min="16" max="16" width="10.88671875" style="32" bestFit="1" customWidth="1"/>
    <col min="17" max="16384" width="8.88671875" style="32"/>
  </cols>
  <sheetData>
    <row r="1" spans="1:14" ht="16.5" thickBot="1">
      <c r="A1" s="36" t="s">
        <v>78</v>
      </c>
      <c r="B1" s="141">
        <v>20</v>
      </c>
      <c r="C1" s="61" t="s">
        <v>140</v>
      </c>
      <c r="D1" s="142">
        <v>40</v>
      </c>
      <c r="E1" s="39" t="s">
        <v>72</v>
      </c>
      <c r="F1" s="143">
        <v>6.1524484519493061</v>
      </c>
      <c r="G1" s="40" t="s">
        <v>73</v>
      </c>
      <c r="H1" s="144">
        <f>F1*10000*3600/10^6</f>
        <v>221.48814427017501</v>
      </c>
      <c r="I1" s="83" t="s">
        <v>74</v>
      </c>
    </row>
    <row r="2" spans="1:14" ht="16.5" thickBot="1">
      <c r="A2" s="36" t="s">
        <v>79</v>
      </c>
      <c r="B2" s="141">
        <v>25</v>
      </c>
      <c r="C2" s="70" t="s">
        <v>141</v>
      </c>
      <c r="D2" s="141">
        <v>5</v>
      </c>
      <c r="E2" s="70" t="s">
        <v>81</v>
      </c>
      <c r="F2" s="70">
        <f>$B$1+D2</f>
        <v>25</v>
      </c>
      <c r="G2" s="70" t="s">
        <v>82</v>
      </c>
      <c r="H2" s="70">
        <f>$B$2+D2</f>
        <v>30</v>
      </c>
      <c r="I2" s="70" t="s">
        <v>77</v>
      </c>
      <c r="J2" s="145" t="s">
        <v>83</v>
      </c>
      <c r="K2" s="146">
        <f>(2*F2^2*H2^2-F2^4)/H2^4</f>
        <v>0.90663580246913578</v>
      </c>
    </row>
    <row r="3" spans="1:14" ht="16.5" thickBot="1">
      <c r="A3" s="147" t="s">
        <v>142</v>
      </c>
      <c r="B3" s="148">
        <v>2</v>
      </c>
      <c r="C3" s="147" t="s">
        <v>143</v>
      </c>
      <c r="D3" s="148">
        <v>7.0000000000000007E-2</v>
      </c>
      <c r="E3" s="58" t="s">
        <v>144</v>
      </c>
      <c r="F3" s="140"/>
      <c r="G3" s="59"/>
      <c r="H3" s="149">
        <f>D3*B3^((B1-20)/10)</f>
        <v>7.0000000000000007E-2</v>
      </c>
    </row>
    <row r="4" spans="1:14">
      <c r="A4" s="39" t="s">
        <v>145</v>
      </c>
      <c r="B4" s="40" t="s">
        <v>317</v>
      </c>
      <c r="C4" s="150">
        <v>400</v>
      </c>
      <c r="D4" s="40" t="s">
        <v>146</v>
      </c>
      <c r="E4" s="151">
        <v>108.6</v>
      </c>
      <c r="F4" s="152" t="s">
        <v>147</v>
      </c>
      <c r="G4" s="153">
        <f>(1200-C4)/2/1200</f>
        <v>0.33333333333333331</v>
      </c>
      <c r="H4" s="32" t="s">
        <v>148</v>
      </c>
    </row>
    <row r="5" spans="1:14" ht="16.5" thickBot="1">
      <c r="A5" s="58" t="s">
        <v>102</v>
      </c>
      <c r="B5" s="59"/>
      <c r="C5" s="59">
        <f>C4*1.83025</f>
        <v>732.1</v>
      </c>
      <c r="D5" s="59"/>
      <c r="E5" s="154">
        <f>E4*1.96</f>
        <v>212.85599999999999</v>
      </c>
      <c r="F5" s="58"/>
      <c r="G5" s="125">
        <f>(2352-C5)/2/2352</f>
        <v>0.34436649659863949</v>
      </c>
      <c r="H5" s="32" t="s">
        <v>149</v>
      </c>
    </row>
    <row r="6" spans="1:14" ht="16.5" thickBot="1">
      <c r="A6" s="155" t="s">
        <v>150</v>
      </c>
      <c r="C6" s="132">
        <f>C5/C4</f>
        <v>1.8302500000000002</v>
      </c>
      <c r="D6" s="156"/>
      <c r="E6" s="132">
        <f>E5/E4</f>
        <v>1.96</v>
      </c>
      <c r="F6" s="157"/>
      <c r="H6" s="158" t="s">
        <v>88</v>
      </c>
      <c r="I6" s="151">
        <v>1</v>
      </c>
      <c r="J6" s="159" t="s">
        <v>89</v>
      </c>
      <c r="K6" s="160" t="s">
        <v>90</v>
      </c>
      <c r="L6" s="161" t="s">
        <v>91</v>
      </c>
      <c r="M6" s="162" t="s">
        <v>92</v>
      </c>
    </row>
    <row r="7" spans="1:14">
      <c r="A7" s="39"/>
      <c r="B7" s="40"/>
      <c r="C7" s="40" t="s">
        <v>84</v>
      </c>
      <c r="D7" s="41" t="s">
        <v>85</v>
      </c>
      <c r="E7" s="41" t="s">
        <v>86</v>
      </c>
      <c r="F7" s="42" t="s">
        <v>87</v>
      </c>
      <c r="G7" s="52"/>
      <c r="H7" s="163" t="s">
        <v>94</v>
      </c>
      <c r="I7" s="164">
        <f>IF(I6&gt;=1,100,200-(I6*100))</f>
        <v>100</v>
      </c>
      <c r="J7" s="165" t="s">
        <v>95</v>
      </c>
      <c r="K7" s="66">
        <f>IF($B$8&gt;80,100,1000-$B$8*(1000-100)/80)</f>
        <v>100</v>
      </c>
      <c r="L7" s="166">
        <f>IF($B$8&gt;80,200,1200-$B$8*(1200-200)/80)</f>
        <v>200</v>
      </c>
      <c r="M7" s="167">
        <f>IF($B$8&gt;80,300,1400-$B$8*(1400-300)/80)</f>
        <v>300</v>
      </c>
    </row>
    <row r="8" spans="1:14" ht="16.5" thickBot="1">
      <c r="A8" s="48" t="s">
        <v>93</v>
      </c>
      <c r="B8" s="49">
        <v>500</v>
      </c>
      <c r="C8" s="168" t="s">
        <v>151</v>
      </c>
      <c r="D8" s="49">
        <v>100</v>
      </c>
      <c r="E8" s="49">
        <v>100</v>
      </c>
      <c r="F8" s="51">
        <v>100</v>
      </c>
      <c r="G8" s="63"/>
      <c r="H8" s="169" t="s">
        <v>97</v>
      </c>
      <c r="I8" s="140">
        <f>1.65*I7</f>
        <v>165</v>
      </c>
      <c r="J8" s="170" t="s">
        <v>99</v>
      </c>
      <c r="K8" s="171">
        <f>1.4*K7</f>
        <v>140</v>
      </c>
      <c r="L8" s="172">
        <f>1.4*L7</f>
        <v>280</v>
      </c>
      <c r="M8" s="140">
        <f>M7*1.4</f>
        <v>420</v>
      </c>
    </row>
    <row r="9" spans="1:14" ht="16.5" thickBot="1">
      <c r="A9" s="173"/>
      <c r="B9" s="59"/>
      <c r="C9" s="147" t="s">
        <v>96</v>
      </c>
      <c r="D9" s="174">
        <f>1/(1+D8/$B$8)</f>
        <v>0.83333333333333337</v>
      </c>
      <c r="E9" s="175">
        <f>1/(1+E8/$B$8)</f>
        <v>0.83333333333333337</v>
      </c>
      <c r="F9" s="125">
        <f>1/(1+F8/$B$8)</f>
        <v>0.83333333333333337</v>
      </c>
      <c r="G9" s="73"/>
    </row>
    <row r="10" spans="1:14" ht="16.5" thickBot="1">
      <c r="A10" s="69" t="s">
        <v>152</v>
      </c>
      <c r="B10" s="70"/>
      <c r="C10" s="70"/>
      <c r="D10" s="71">
        <f>$F$1*$K$2*D9*$C$12</f>
        <v>1.5155424295491895</v>
      </c>
      <c r="E10" s="61">
        <f>F1*K2*E9*$C$12</f>
        <v>1.5155424295491895</v>
      </c>
      <c r="F10" s="62">
        <f>$F$1*$K$2*F9*$C$12</f>
        <v>1.5155424295491895</v>
      </c>
      <c r="H10" s="176" t="s">
        <v>104</v>
      </c>
      <c r="I10" s="177" t="s">
        <v>109</v>
      </c>
      <c r="J10" s="42" t="s">
        <v>153</v>
      </c>
      <c r="K10" s="39" t="s">
        <v>110</v>
      </c>
      <c r="L10" s="40"/>
      <c r="M10" s="40"/>
      <c r="N10" s="83"/>
    </row>
    <row r="11" spans="1:14">
      <c r="A11" s="50" t="s">
        <v>100</v>
      </c>
      <c r="B11" s="178" t="s">
        <v>154</v>
      </c>
      <c r="C11" s="32" t="s">
        <v>155</v>
      </c>
      <c r="D11" s="79" t="s">
        <v>103</v>
      </c>
      <c r="H11" s="179" t="s">
        <v>91</v>
      </c>
      <c r="I11" s="180">
        <f>IF(C5&gt;=2352,400,400*C5/2352)</f>
        <v>124.50680272108843</v>
      </c>
      <c r="J11" s="181">
        <f>I11*1.4</f>
        <v>174.3095238095238</v>
      </c>
      <c r="K11" s="48" t="s">
        <v>91</v>
      </c>
      <c r="L11" s="106">
        <f>$I$7+$I$11+K7</f>
        <v>324.50680272108843</v>
      </c>
      <c r="M11" s="106">
        <f>$I$7+$I$11+L7</f>
        <v>424.50680272108843</v>
      </c>
      <c r="N11" s="107">
        <f>$I$7+$I$11+M7</f>
        <v>524.50680272108843</v>
      </c>
    </row>
    <row r="12" spans="1:14" ht="16.5" thickBot="1">
      <c r="B12" s="95">
        <v>440</v>
      </c>
      <c r="C12" s="32">
        <f>1/(1+B12/$E$5)</f>
        <v>0.32603820750670898</v>
      </c>
      <c r="D12" s="87">
        <f>$C$5+$B$12+L15*D10</f>
        <v>1898.5139202203507</v>
      </c>
      <c r="E12" s="87">
        <f>$C$5+$B$12+M15*E10</f>
        <v>2110.6898603572372</v>
      </c>
      <c r="F12" s="87">
        <f>$C$5+$B$12+N15*F10</f>
        <v>2322.8658004941235</v>
      </c>
      <c r="H12" s="182" t="s">
        <v>90</v>
      </c>
      <c r="I12" s="183">
        <f>IF(C5&gt;=2352,200,200*C5/2352)</f>
        <v>62.253401360544217</v>
      </c>
      <c r="J12" s="125">
        <f>I12*1.4</f>
        <v>87.154761904761898</v>
      </c>
      <c r="K12" s="173" t="s">
        <v>90</v>
      </c>
      <c r="L12" s="111">
        <f>$I$12+$I$7+K7</f>
        <v>262.25340136054422</v>
      </c>
      <c r="M12" s="111">
        <f>$I$12+$I$7+L7</f>
        <v>362.25340136054422</v>
      </c>
      <c r="N12" s="112">
        <f>$I$12+$I$7+M7</f>
        <v>462.25340136054422</v>
      </c>
    </row>
    <row r="13" spans="1:14" ht="16.5" thickBot="1">
      <c r="B13" s="184">
        <v>440</v>
      </c>
      <c r="C13" s="32">
        <f>1/(1+B13/$E$5)</f>
        <v>0.32603820750670898</v>
      </c>
      <c r="D13" s="97">
        <f>$C$5+$B$13+L16*D10</f>
        <v>1766.4271806164268</v>
      </c>
      <c r="E13" s="97">
        <f>$C$5+$B$13+M16*E10</f>
        <v>1978.6031207533133</v>
      </c>
      <c r="F13" s="97">
        <f>$C$5+$B$13+N16*F10</f>
        <v>2190.7790608901996</v>
      </c>
      <c r="G13" s="90"/>
    </row>
    <row r="14" spans="1:14" ht="16.5" thickBot="1">
      <c r="A14" s="84" t="s">
        <v>107</v>
      </c>
      <c r="B14" s="85">
        <v>880</v>
      </c>
      <c r="C14" s="185">
        <f>1/(1+B14/$E$5)</f>
        <v>0.19477039975989519</v>
      </c>
      <c r="E14" s="76"/>
      <c r="F14" s="80"/>
      <c r="G14" s="90"/>
      <c r="K14" s="39" t="s">
        <v>156</v>
      </c>
      <c r="L14" s="40"/>
      <c r="M14" s="40"/>
      <c r="N14" s="83"/>
    </row>
    <row r="15" spans="1:14">
      <c r="A15" s="32" t="s">
        <v>157</v>
      </c>
      <c r="C15" s="102" t="s">
        <v>91</v>
      </c>
      <c r="D15" s="103">
        <f t="shared" ref="D15:F16" si="0">L15</f>
        <v>479.3095238095238</v>
      </c>
      <c r="E15" s="103">
        <f t="shared" si="0"/>
        <v>619.30952380952385</v>
      </c>
      <c r="F15" s="104">
        <f t="shared" si="0"/>
        <v>759.30952380952385</v>
      </c>
      <c r="K15" s="48" t="s">
        <v>91</v>
      </c>
      <c r="L15" s="92">
        <f>$I$8+K8+$J$11</f>
        <v>479.3095238095238</v>
      </c>
      <c r="M15" s="92">
        <f>$I$8+L8+$J$11</f>
        <v>619.30952380952385</v>
      </c>
      <c r="N15" s="93">
        <f>$I$8+M8+$J$11</f>
        <v>759.30952380952385</v>
      </c>
    </row>
    <row r="16" spans="1:14" ht="16.5" thickBot="1">
      <c r="C16" s="102" t="s">
        <v>90</v>
      </c>
      <c r="D16" s="108">
        <f t="shared" si="0"/>
        <v>392.15476190476193</v>
      </c>
      <c r="E16" s="108">
        <f t="shared" si="0"/>
        <v>532.15476190476193</v>
      </c>
      <c r="F16" s="109">
        <f t="shared" si="0"/>
        <v>672.15476190476193</v>
      </c>
      <c r="K16" s="173" t="s">
        <v>90</v>
      </c>
      <c r="L16" s="111">
        <f>$I$8+K8+$J$12</f>
        <v>392.15476190476193</v>
      </c>
      <c r="M16" s="111">
        <f>$I$8+L8+$J$12</f>
        <v>532.15476190476193</v>
      </c>
      <c r="N16" s="112">
        <f>$I$8+M8+$J$12</f>
        <v>672.15476190476193</v>
      </c>
    </row>
    <row r="17" spans="1:16" ht="16.5" thickBot="1"/>
    <row r="18" spans="1:16">
      <c r="A18" s="32" t="s">
        <v>112</v>
      </c>
      <c r="C18" s="102"/>
      <c r="G18" s="115"/>
      <c r="H18" s="39" t="s">
        <v>117</v>
      </c>
      <c r="I18" s="144">
        <f>0.61078 * EXP(17.269*$B$1/(237.3+$B$1))</f>
        <v>2.3380229641467558</v>
      </c>
      <c r="J18" s="40" t="s">
        <v>158</v>
      </c>
      <c r="K18" s="144">
        <f>2166*I18/(273.16+$B$1)</f>
        <v>17.27438170399056</v>
      </c>
      <c r="L18" s="40" t="s">
        <v>121</v>
      </c>
      <c r="M18" s="40"/>
      <c r="N18" s="83"/>
    </row>
    <row r="19" spans="1:16">
      <c r="C19" s="102" t="s">
        <v>91</v>
      </c>
      <c r="D19" s="113">
        <f>4*$D$10*L15*$C$5</f>
        <v>2127230.523973275</v>
      </c>
      <c r="E19" s="114">
        <f>4*$E$10*M15*$C$5</f>
        <v>2748566.547070134</v>
      </c>
      <c r="F19" s="114">
        <f>4*$F$10*N15*$C$5</f>
        <v>3369902.5701669925</v>
      </c>
      <c r="G19" s="115"/>
      <c r="H19" s="186" t="s">
        <v>115</v>
      </c>
      <c r="I19" s="50"/>
      <c r="J19" s="50" t="s">
        <v>114</v>
      </c>
      <c r="K19" s="180">
        <f>K18*$D$1/100</f>
        <v>6.909752681596224</v>
      </c>
      <c r="L19" s="50" t="s">
        <v>121</v>
      </c>
      <c r="M19" s="50"/>
      <c r="N19" s="138"/>
      <c r="P19" s="73"/>
    </row>
    <row r="20" spans="1:16">
      <c r="C20" s="102" t="s">
        <v>90</v>
      </c>
      <c r="D20" s="113">
        <f>4*$D$10*L16*$C$5</f>
        <v>1740427.7157171445</v>
      </c>
      <c r="E20" s="114">
        <f>4*$E$10*M16*$C$5</f>
        <v>2361763.7388140028</v>
      </c>
      <c r="F20" s="114">
        <f>4*$F$10*N16*$C$5</f>
        <v>2983099.7619108614</v>
      </c>
      <c r="H20" s="186" t="s">
        <v>119</v>
      </c>
      <c r="I20" s="50"/>
      <c r="J20" s="50" t="s">
        <v>120</v>
      </c>
      <c r="K20" s="187">
        <f>K18-K19</f>
        <v>10.364629022394336</v>
      </c>
      <c r="L20" s="50" t="s">
        <v>121</v>
      </c>
      <c r="M20" s="115">
        <f>K20*1000</f>
        <v>10364.629022394336</v>
      </c>
      <c r="N20" s="138" t="s">
        <v>122</v>
      </c>
      <c r="O20" s="188"/>
    </row>
    <row r="21" spans="1:16" ht="16.5" thickBot="1">
      <c r="A21" s="32" t="s">
        <v>118</v>
      </c>
      <c r="C21" s="102"/>
      <c r="G21" s="106"/>
      <c r="H21" s="186"/>
      <c r="I21" s="50"/>
      <c r="J21" s="50"/>
      <c r="K21" s="50"/>
      <c r="L21" s="50"/>
      <c r="M21" s="50"/>
      <c r="N21" s="138"/>
      <c r="O21" s="188"/>
    </row>
    <row r="22" spans="1:16">
      <c r="C22" s="102" t="s">
        <v>91</v>
      </c>
      <c r="D22" s="116">
        <f t="shared" ref="D22:F23" si="1">SQRT(D12^2-D19)</f>
        <v>1215.3701416840752</v>
      </c>
      <c r="E22" s="88">
        <f t="shared" si="1"/>
        <v>1306.3097410433404</v>
      </c>
      <c r="F22" s="117">
        <f t="shared" si="1"/>
        <v>1423.3070494233534</v>
      </c>
      <c r="G22" s="118"/>
      <c r="H22" s="39" t="s">
        <v>123</v>
      </c>
      <c r="I22" s="40" t="s">
        <v>159</v>
      </c>
      <c r="J22" s="40"/>
      <c r="K22" s="41" t="s">
        <v>90</v>
      </c>
      <c r="L22" s="41" t="s">
        <v>91</v>
      </c>
      <c r="M22" s="41" t="s">
        <v>92</v>
      </c>
      <c r="N22" s="83"/>
    </row>
    <row r="23" spans="1:16">
      <c r="C23" s="102" t="s">
        <v>90</v>
      </c>
      <c r="D23" s="97">
        <f t="shared" si="1"/>
        <v>1174.6647473655426</v>
      </c>
      <c r="E23" s="98">
        <f t="shared" si="1"/>
        <v>1246.2369640805668</v>
      </c>
      <c r="F23" s="99">
        <f t="shared" si="1"/>
        <v>1347.7437188590729</v>
      </c>
      <c r="G23" s="118"/>
      <c r="H23" s="186"/>
      <c r="I23" s="189" t="s">
        <v>160</v>
      </c>
      <c r="J23" s="168" t="s">
        <v>91</v>
      </c>
      <c r="K23" s="90">
        <f t="shared" ref="K23:M24" si="2">$M$20/L11</f>
        <v>31.939635580776006</v>
      </c>
      <c r="L23" s="180">
        <f t="shared" si="2"/>
        <v>24.415695946347782</v>
      </c>
      <c r="M23" s="90">
        <f t="shared" si="2"/>
        <v>19.760714195933563</v>
      </c>
      <c r="N23" s="138"/>
    </row>
    <row r="24" spans="1:16" ht="16.5" thickBot="1">
      <c r="A24" s="32" t="s">
        <v>125</v>
      </c>
      <c r="C24" s="102"/>
      <c r="E24" s="118"/>
      <c r="F24" s="118"/>
      <c r="H24" s="58"/>
      <c r="I24" s="59"/>
      <c r="J24" s="147" t="s">
        <v>90</v>
      </c>
      <c r="K24" s="124">
        <f t="shared" si="2"/>
        <v>39.521428391867126</v>
      </c>
      <c r="L24" s="124">
        <f t="shared" si="2"/>
        <v>28.611543696945468</v>
      </c>
      <c r="M24" s="124">
        <f t="shared" si="2"/>
        <v>22.421963779797537</v>
      </c>
      <c r="N24" s="140"/>
    </row>
    <row r="25" spans="1:16">
      <c r="A25" s="32" t="s">
        <v>127</v>
      </c>
      <c r="C25" s="102" t="s">
        <v>91</v>
      </c>
      <c r="D25" s="190">
        <f>(D12-D22)/2/D15</f>
        <v>0.71263321987292161</v>
      </c>
      <c r="E25" s="191">
        <f t="shared" ref="E25:F26" si="3">(E12-E22)/2/E15</f>
        <v>0.64941688153442123</v>
      </c>
      <c r="F25" s="190">
        <f t="shared" si="3"/>
        <v>0.59235313325032679</v>
      </c>
      <c r="G25" s="126"/>
    </row>
    <row r="26" spans="1:16">
      <c r="C26" s="102" t="s">
        <v>90</v>
      </c>
      <c r="D26" s="192">
        <f>(D13-D23)/2/D16</f>
        <v>0.75450114436529359</v>
      </c>
      <c r="E26" s="192">
        <f t="shared" si="3"/>
        <v>0.68811388067952284</v>
      </c>
      <c r="F26" s="192">
        <f t="shared" si="3"/>
        <v>0.62711401436934022</v>
      </c>
      <c r="H26" s="32" t="s">
        <v>161</v>
      </c>
      <c r="I26" s="34">
        <f>E25</f>
        <v>0.64941688153442123</v>
      </c>
      <c r="J26" s="32" t="s">
        <v>162</v>
      </c>
      <c r="K26" s="193">
        <f>G4*I26</f>
        <v>0.21647229384480707</v>
      </c>
      <c r="L26" s="194" t="s">
        <v>163</v>
      </c>
    </row>
    <row r="27" spans="1:16">
      <c r="A27" s="32" t="s">
        <v>129</v>
      </c>
      <c r="E27" s="32">
        <v>0.65</v>
      </c>
      <c r="J27" s="32" t="s">
        <v>164</v>
      </c>
      <c r="K27" s="195">
        <f>H3</f>
        <v>7.0000000000000007E-2</v>
      </c>
    </row>
    <row r="28" spans="1:16">
      <c r="H28" s="126"/>
      <c r="J28" s="32" t="s">
        <v>165</v>
      </c>
      <c r="K28" s="193">
        <f>I26-K26-K27</f>
        <v>0.36294458768961418</v>
      </c>
    </row>
    <row r="30" spans="1:16" ht="16.5" thickBot="1">
      <c r="K30" s="132"/>
      <c r="L30" s="196" t="s">
        <v>122</v>
      </c>
      <c r="O30" s="196" t="s">
        <v>166</v>
      </c>
      <c r="P30" s="52"/>
    </row>
    <row r="31" spans="1:16">
      <c r="K31" s="132"/>
      <c r="L31" s="39">
        <v>800</v>
      </c>
      <c r="M31" s="121">
        <f t="shared" ref="M31:M39" si="4">(2352-L31)/2352/2</f>
        <v>0.32993197278911562</v>
      </c>
      <c r="O31" s="39">
        <v>400</v>
      </c>
      <c r="P31" s="121">
        <f t="shared" ref="P31:P39" si="5">(1200-O31)/1200/2</f>
        <v>0.33333333333333331</v>
      </c>
    </row>
    <row r="32" spans="1:16">
      <c r="K32" s="132"/>
      <c r="L32" s="186">
        <v>1000</v>
      </c>
      <c r="M32" s="181">
        <f t="shared" si="4"/>
        <v>0.28741496598639454</v>
      </c>
      <c r="O32" s="186">
        <v>500</v>
      </c>
      <c r="P32" s="181">
        <f t="shared" si="5"/>
        <v>0.29166666666666669</v>
      </c>
    </row>
    <row r="33" spans="11:16">
      <c r="K33" s="132"/>
      <c r="L33" s="186">
        <v>1200</v>
      </c>
      <c r="M33" s="181">
        <f t="shared" si="4"/>
        <v>0.24489795918367346</v>
      </c>
      <c r="O33" s="186">
        <v>600</v>
      </c>
      <c r="P33" s="181">
        <f t="shared" si="5"/>
        <v>0.25</v>
      </c>
    </row>
    <row r="34" spans="11:16">
      <c r="K34" s="132"/>
      <c r="L34" s="186">
        <v>1400</v>
      </c>
      <c r="M34" s="181">
        <f t="shared" si="4"/>
        <v>0.20238095238095238</v>
      </c>
      <c r="O34" s="186">
        <v>700</v>
      </c>
      <c r="P34" s="181">
        <f t="shared" si="5"/>
        <v>0.20833333333333334</v>
      </c>
    </row>
    <row r="35" spans="11:16">
      <c r="L35" s="186">
        <v>1600</v>
      </c>
      <c r="M35" s="181">
        <f t="shared" si="4"/>
        <v>0.1598639455782313</v>
      </c>
      <c r="O35" s="186">
        <v>800</v>
      </c>
      <c r="P35" s="181">
        <f t="shared" si="5"/>
        <v>0.16666666666666666</v>
      </c>
    </row>
    <row r="36" spans="11:16">
      <c r="K36" s="132"/>
      <c r="L36" s="186">
        <v>1800</v>
      </c>
      <c r="M36" s="181">
        <f t="shared" si="4"/>
        <v>0.11734693877551021</v>
      </c>
      <c r="O36" s="186">
        <v>900</v>
      </c>
      <c r="P36" s="181">
        <f t="shared" si="5"/>
        <v>0.125</v>
      </c>
    </row>
    <row r="37" spans="11:16">
      <c r="K37" s="132"/>
      <c r="L37" s="186">
        <v>2000</v>
      </c>
      <c r="M37" s="181">
        <f t="shared" si="4"/>
        <v>7.4829931972789115E-2</v>
      </c>
      <c r="O37" s="186">
        <v>1000</v>
      </c>
      <c r="P37" s="181">
        <f t="shared" si="5"/>
        <v>8.3333333333333329E-2</v>
      </c>
    </row>
    <row r="38" spans="11:16">
      <c r="K38" s="132"/>
      <c r="L38" s="186">
        <v>2200</v>
      </c>
      <c r="M38" s="181">
        <f t="shared" si="4"/>
        <v>3.2312925170068028E-2</v>
      </c>
      <c r="O38" s="186">
        <v>1100</v>
      </c>
      <c r="P38" s="181">
        <f t="shared" si="5"/>
        <v>4.1666666666666664E-2</v>
      </c>
    </row>
    <row r="39" spans="11:16" ht="16.5" thickBot="1">
      <c r="L39" s="58">
        <v>2352</v>
      </c>
      <c r="M39" s="125">
        <f t="shared" si="4"/>
        <v>0</v>
      </c>
      <c r="O39" s="58">
        <v>1200</v>
      </c>
      <c r="P39" s="125">
        <f t="shared" si="5"/>
        <v>0</v>
      </c>
    </row>
    <row r="49" spans="15:15">
      <c r="O49" s="122"/>
    </row>
  </sheetData>
  <phoneticPr fontId="27" type="noConversion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47E50-54E3-49F3-9D49-438E21EC8895}">
  <dimension ref="A1:BA50"/>
  <sheetViews>
    <sheetView zoomScale="85" zoomScaleNormal="85" workbookViewId="0">
      <pane xSplit="1" topLeftCell="B1" activePane="topRight" state="frozen"/>
      <selection activeCell="A2" sqref="A2"/>
      <selection pane="topRight" activeCell="B29" sqref="B29"/>
    </sheetView>
  </sheetViews>
  <sheetFormatPr defaultColWidth="8.88671875" defaultRowHeight="15.75"/>
  <cols>
    <col min="1" max="1" width="10" style="32" customWidth="1"/>
    <col min="2" max="6" width="8.88671875" style="32"/>
    <col min="7" max="7" width="8.88671875" style="32" customWidth="1"/>
    <col min="8" max="16" width="8.88671875" style="32"/>
    <col min="17" max="17" width="8.77734375" style="32" customWidth="1"/>
    <col min="18" max="18" width="8.88671875" style="32"/>
    <col min="19" max="19" width="13.109375" style="32" bestFit="1" customWidth="1"/>
    <col min="20" max="20" width="12" style="32" bestFit="1" customWidth="1"/>
    <col min="21" max="21" width="5.6640625" style="32" customWidth="1"/>
    <col min="22" max="22" width="7.21875" style="32" customWidth="1"/>
    <col min="23" max="26" width="8.88671875" style="32"/>
    <col min="27" max="27" width="10.5546875" style="32" customWidth="1"/>
    <col min="28" max="28" width="9.33203125" style="32" customWidth="1"/>
    <col min="29" max="29" width="20.33203125" style="32" bestFit="1" customWidth="1"/>
    <col min="30" max="30" width="2.5546875" style="32" customWidth="1"/>
    <col min="31" max="31" width="8.88671875" style="32"/>
    <col min="32" max="32" width="10.77734375" style="32" customWidth="1"/>
    <col min="33" max="38" width="8.88671875" style="32"/>
    <col min="39" max="39" width="10.88671875" style="32" customWidth="1"/>
    <col min="40" max="40" width="9.88671875" style="32" bestFit="1" customWidth="1"/>
    <col min="41" max="41" width="4.21875" style="32" customWidth="1"/>
    <col min="42" max="42" width="9.88671875" style="32" customWidth="1"/>
    <col min="43" max="43" width="9.21875" style="32" customWidth="1"/>
    <col min="44" max="44" width="10.88671875" style="32" customWidth="1"/>
    <col min="45" max="45" width="11.77734375" style="32" customWidth="1"/>
    <col min="46" max="46" width="10.21875" style="32" customWidth="1"/>
    <col min="47" max="47" width="10" style="32" customWidth="1"/>
    <col min="48" max="48" width="8.88671875" style="32"/>
    <col min="49" max="49" width="8.109375" style="32" bestFit="1" customWidth="1"/>
    <col min="50" max="50" width="10.88671875" style="32" bestFit="1" customWidth="1"/>
    <col min="51" max="16384" width="8.88671875" style="32"/>
  </cols>
  <sheetData>
    <row r="1" spans="1:32">
      <c r="A1" s="32" t="s">
        <v>167</v>
      </c>
      <c r="C1" s="32" t="s">
        <v>168</v>
      </c>
      <c r="D1" s="35">
        <v>3.1231362626591497</v>
      </c>
      <c r="F1" s="32" t="s">
        <v>142</v>
      </c>
      <c r="G1" s="35">
        <v>2</v>
      </c>
      <c r="H1" s="32" t="s">
        <v>169</v>
      </c>
      <c r="I1" s="35">
        <v>7.0000000000000007E-2</v>
      </c>
      <c r="K1" s="32" t="s">
        <v>170</v>
      </c>
      <c r="L1" s="35">
        <v>440</v>
      </c>
      <c r="S1" s="197" t="s">
        <v>171</v>
      </c>
      <c r="T1" s="198" t="s">
        <v>172</v>
      </c>
      <c r="X1" s="32" t="s">
        <v>173</v>
      </c>
      <c r="AA1" s="122" t="s">
        <v>174</v>
      </c>
      <c r="AC1" s="32" t="s">
        <v>175</v>
      </c>
    </row>
    <row r="2" spans="1:32" ht="18">
      <c r="A2" s="32" t="s">
        <v>176</v>
      </c>
      <c r="B2" s="32" t="s">
        <v>177</v>
      </c>
      <c r="C2" s="32" t="s">
        <v>140</v>
      </c>
      <c r="D2" s="32" t="s">
        <v>178</v>
      </c>
      <c r="E2" s="32" t="s">
        <v>179</v>
      </c>
      <c r="F2" s="32" t="s">
        <v>180</v>
      </c>
      <c r="G2" s="32" t="s">
        <v>181</v>
      </c>
      <c r="H2" s="32" t="s">
        <v>182</v>
      </c>
      <c r="I2" s="32" t="s">
        <v>183</v>
      </c>
      <c r="J2" s="32" t="s">
        <v>184</v>
      </c>
      <c r="K2" s="32" t="s">
        <v>185</v>
      </c>
      <c r="L2" s="32" t="s">
        <v>186</v>
      </c>
      <c r="M2" s="32" t="s">
        <v>187</v>
      </c>
      <c r="N2" s="32" t="s">
        <v>188</v>
      </c>
      <c r="O2" s="32" t="s">
        <v>189</v>
      </c>
      <c r="P2" s="32" t="s">
        <v>96</v>
      </c>
      <c r="Q2" s="32" t="s">
        <v>190</v>
      </c>
      <c r="R2" s="32" t="s">
        <v>191</v>
      </c>
      <c r="S2" s="199" t="s">
        <v>147</v>
      </c>
      <c r="T2" s="199" t="s">
        <v>192</v>
      </c>
      <c r="U2" s="32" t="s">
        <v>97</v>
      </c>
      <c r="V2" s="32" t="s">
        <v>99</v>
      </c>
      <c r="W2" s="32" t="s">
        <v>153</v>
      </c>
      <c r="X2" s="32" t="s">
        <v>193</v>
      </c>
      <c r="Y2" s="32" t="s">
        <v>194</v>
      </c>
      <c r="Z2" s="122" t="s">
        <v>195</v>
      </c>
      <c r="AA2" s="122" t="s">
        <v>196</v>
      </c>
      <c r="AB2" s="122" t="s">
        <v>197</v>
      </c>
      <c r="AC2" s="199" t="s">
        <v>198</v>
      </c>
      <c r="AE2" s="32" t="s">
        <v>199</v>
      </c>
      <c r="AF2" s="32" t="s">
        <v>165</v>
      </c>
    </row>
    <row r="3" spans="1:32">
      <c r="A3" s="32">
        <v>1</v>
      </c>
      <c r="B3" s="32">
        <v>11.8</v>
      </c>
      <c r="C3" s="32">
        <v>91</v>
      </c>
      <c r="D3" s="32">
        <v>2.2999999999999998</v>
      </c>
      <c r="E3" s="32">
        <v>0</v>
      </c>
      <c r="F3" s="32">
        <v>400</v>
      </c>
      <c r="G3" s="73">
        <f>E3*10^6/3600</f>
        <v>0</v>
      </c>
      <c r="H3" s="32">
        <f>F3*1.96</f>
        <v>784</v>
      </c>
      <c r="I3" s="73">
        <f>0.61078 * EXP(17.269*B3/(237.3+B3))</f>
        <v>1.3840628945264886</v>
      </c>
      <c r="J3" s="73">
        <f>2166*I3/(273.16+B3)</f>
        <v>10.520354539389297</v>
      </c>
      <c r="K3" s="73">
        <f>J3*C3/100</f>
        <v>9.5735226308442591</v>
      </c>
      <c r="L3" s="32">
        <f>IF(G3&gt;80,200,1200-G3*(1200-200)/80)</f>
        <v>1200</v>
      </c>
      <c r="M3" s="32">
        <f>IF(D3&gt;=1,100,200-(D3*100))</f>
        <v>100</v>
      </c>
      <c r="N3" s="200">
        <f>IF(H3&gt;=2352,400,400*H3/2352)</f>
        <v>133.33333333333334</v>
      </c>
      <c r="O3" s="73">
        <f>(J3-K3)/SUM(L3:N3)*1000</f>
        <v>0.66058040131049156</v>
      </c>
      <c r="P3" s="32">
        <f>IF(G3&gt;0,1/(1+200/G3),0)</f>
        <v>0</v>
      </c>
      <c r="Q3" s="201">
        <f>IF(H3&gt;0,1/(1+440/H3),0)</f>
        <v>0.64052287581699352</v>
      </c>
      <c r="R3" s="201">
        <f t="shared" ref="R3:R26" si="0">(2*(B3+5)^2*30^2-(B3+5)^4)/(30)^4</f>
        <v>0.52885504000000005</v>
      </c>
      <c r="S3" s="201">
        <f t="shared" ref="S3:S26" si="1">(2352-H3)/2/2352</f>
        <v>0.33333333333333331</v>
      </c>
      <c r="T3" s="201">
        <f t="shared" ref="T3:T26" si="2">$I$1*$G$1^((B3-20)/10)</f>
        <v>3.965093598535295E-2</v>
      </c>
      <c r="U3" s="32">
        <f t="shared" ref="U3:U26" si="3">M3*1.65</f>
        <v>165</v>
      </c>
      <c r="V3" s="32">
        <f t="shared" ref="V3:V26" si="4">L3*1.4</f>
        <v>1680</v>
      </c>
      <c r="W3" s="73">
        <f t="shared" ref="W3:W26" si="5">N3*1.4</f>
        <v>186.66666666666666</v>
      </c>
      <c r="X3" s="32">
        <f>SUM(U3:W3)</f>
        <v>2031.6666666666667</v>
      </c>
      <c r="Y3" s="32">
        <f>$D$1*R3*Q3*P3</f>
        <v>0</v>
      </c>
      <c r="Z3" s="32">
        <f>H3+$L$1+Y3*X3</f>
        <v>1224</v>
      </c>
      <c r="AA3" s="200">
        <f t="shared" ref="AA3:AA26" si="6">4*X3*H3*Y3</f>
        <v>0</v>
      </c>
      <c r="AB3" s="200">
        <f>(Z3^2-AA3)</f>
        <v>1498176</v>
      </c>
      <c r="AC3" s="32">
        <f>(Z3-SQRT(AB3))/2/X3</f>
        <v>0</v>
      </c>
      <c r="AE3" s="32">
        <f>AC3*S3</f>
        <v>0</v>
      </c>
      <c r="AF3" s="202">
        <f>AC3-AE3-T3</f>
        <v>-3.965093598535295E-2</v>
      </c>
    </row>
    <row r="4" spans="1:32">
      <c r="A4" s="32">
        <v>2</v>
      </c>
      <c r="B4" s="32">
        <v>11.4</v>
      </c>
      <c r="C4" s="32">
        <v>92</v>
      </c>
      <c r="D4" s="32">
        <v>2.1</v>
      </c>
      <c r="E4" s="32">
        <v>0</v>
      </c>
      <c r="F4" s="32">
        <v>400</v>
      </c>
      <c r="G4" s="73">
        <f t="shared" ref="G4:G26" si="7">E4*10^6/3600</f>
        <v>0</v>
      </c>
      <c r="H4" s="32">
        <f t="shared" ref="H4:H26" si="8">F4*1.96</f>
        <v>784</v>
      </c>
      <c r="I4" s="73">
        <f t="shared" ref="I4:I26" si="9">0.61078 * EXP(17.269*B4/(237.3+B4))</f>
        <v>1.3479220434620023</v>
      </c>
      <c r="J4" s="73">
        <f t="shared" ref="J4:J26" si="10">2166*I4/(273.16+B4)</f>
        <v>10.260047603804811</v>
      </c>
      <c r="K4" s="73">
        <f t="shared" ref="K4:K26" si="11">J4*C4/100</f>
        <v>9.4392437955004258</v>
      </c>
      <c r="L4" s="32">
        <f t="shared" ref="L4:L26" si="12">IF(G4&gt;80,200,1200-G4*(1200-200)/80)</f>
        <v>1200</v>
      </c>
      <c r="M4" s="32">
        <f t="shared" ref="M4:M26" si="13">IF(D4&gt;=1,100,200-(D4*100))</f>
        <v>100</v>
      </c>
      <c r="N4" s="200">
        <f t="shared" ref="N4:N26" si="14">IF(H4&gt;=2352,400,400*H4/2352)</f>
        <v>133.33333333333334</v>
      </c>
      <c r="O4" s="73">
        <f t="shared" ref="O4:O26" si="15">(J4-K4)/SUM(L4:N4)*1000</f>
        <v>0.57265381974724539</v>
      </c>
      <c r="P4" s="32">
        <f t="shared" ref="P4:P26" si="16">IF(G4&gt;0,1/(1+200/G4),0)</f>
        <v>0</v>
      </c>
      <c r="Q4" s="201">
        <f t="shared" ref="Q4:Q26" si="17">IF(H4&gt;0,1/(1+440/H4),0)</f>
        <v>0.64052287581699352</v>
      </c>
      <c r="R4" s="201">
        <f t="shared" si="0"/>
        <v>0.50838088691358019</v>
      </c>
      <c r="S4" s="201">
        <f t="shared" si="1"/>
        <v>0.33333333333333331</v>
      </c>
      <c r="T4" s="201">
        <f t="shared" si="2"/>
        <v>3.8566679055681376E-2</v>
      </c>
      <c r="U4" s="32">
        <f t="shared" si="3"/>
        <v>165</v>
      </c>
      <c r="V4" s="32">
        <f t="shared" si="4"/>
        <v>1680</v>
      </c>
      <c r="W4" s="73">
        <f t="shared" si="5"/>
        <v>186.66666666666666</v>
      </c>
      <c r="X4" s="32">
        <f t="shared" ref="X4:X26" si="18">SUM(U4:W4)</f>
        <v>2031.6666666666667</v>
      </c>
      <c r="Y4" s="32">
        <f t="shared" ref="Y4:Y26" si="19">$D$1*R4*Q4*P4</f>
        <v>0</v>
      </c>
      <c r="Z4" s="32">
        <f t="shared" ref="Z4:Z26" si="20">H4+$L$1+Y4*X4</f>
        <v>1224</v>
      </c>
      <c r="AA4" s="200">
        <f t="shared" si="6"/>
        <v>0</v>
      </c>
      <c r="AB4" s="200">
        <f t="shared" ref="AB4:AB26" si="21">(Z4^2-AA4)</f>
        <v>1498176</v>
      </c>
      <c r="AC4" s="32">
        <f t="shared" ref="AC4:AC26" si="22">(Z4-SQRT(AB4))/2/X4</f>
        <v>0</v>
      </c>
      <c r="AE4" s="32">
        <f t="shared" ref="AE4:AE26" si="23">AC4*S4</f>
        <v>0</v>
      </c>
      <c r="AF4" s="202">
        <f t="shared" ref="AF4:AF26" si="24">AC4-AE4-T4</f>
        <v>-3.8566679055681376E-2</v>
      </c>
    </row>
    <row r="5" spans="1:32">
      <c r="A5" s="32">
        <v>3</v>
      </c>
      <c r="B5" s="32">
        <v>10.3</v>
      </c>
      <c r="C5" s="32">
        <v>95</v>
      </c>
      <c r="D5" s="32">
        <v>1.9</v>
      </c>
      <c r="E5" s="32">
        <v>0</v>
      </c>
      <c r="F5" s="32">
        <v>400</v>
      </c>
      <c r="G5" s="73">
        <f t="shared" si="7"/>
        <v>0</v>
      </c>
      <c r="H5" s="32">
        <f t="shared" si="8"/>
        <v>784</v>
      </c>
      <c r="I5" s="73">
        <f t="shared" si="9"/>
        <v>1.2527746239665294</v>
      </c>
      <c r="J5" s="73">
        <f t="shared" si="10"/>
        <v>9.5728139261677221</v>
      </c>
      <c r="K5" s="73">
        <f t="shared" si="11"/>
        <v>9.0941732298593365</v>
      </c>
      <c r="L5" s="32">
        <f t="shared" si="12"/>
        <v>1200</v>
      </c>
      <c r="M5" s="32">
        <f t="shared" si="13"/>
        <v>100</v>
      </c>
      <c r="N5" s="200">
        <f t="shared" si="14"/>
        <v>133.33333333333334</v>
      </c>
      <c r="O5" s="73">
        <f t="shared" si="15"/>
        <v>0.33393536951747838</v>
      </c>
      <c r="P5" s="32">
        <f t="shared" si="16"/>
        <v>0</v>
      </c>
      <c r="Q5" s="201">
        <f t="shared" si="17"/>
        <v>0.64052287581699352</v>
      </c>
      <c r="R5" s="201">
        <f t="shared" si="0"/>
        <v>0.45254799000000001</v>
      </c>
      <c r="S5" s="201">
        <f t="shared" si="1"/>
        <v>0.33333333333333331</v>
      </c>
      <c r="T5" s="201">
        <f t="shared" si="2"/>
        <v>3.5735424399751768E-2</v>
      </c>
      <c r="U5" s="32">
        <f t="shared" si="3"/>
        <v>165</v>
      </c>
      <c r="V5" s="32">
        <f t="shared" si="4"/>
        <v>1680</v>
      </c>
      <c r="W5" s="73">
        <f t="shared" si="5"/>
        <v>186.66666666666666</v>
      </c>
      <c r="X5" s="32">
        <f t="shared" si="18"/>
        <v>2031.6666666666667</v>
      </c>
      <c r="Y5" s="32">
        <f t="shared" si="19"/>
        <v>0</v>
      </c>
      <c r="Z5" s="32">
        <f t="shared" si="20"/>
        <v>1224</v>
      </c>
      <c r="AA5" s="200">
        <f t="shared" si="6"/>
        <v>0</v>
      </c>
      <c r="AB5" s="200">
        <f t="shared" si="21"/>
        <v>1498176</v>
      </c>
      <c r="AC5" s="32">
        <f t="shared" si="22"/>
        <v>0</v>
      </c>
      <c r="AE5" s="32">
        <f t="shared" si="23"/>
        <v>0</v>
      </c>
      <c r="AF5" s="202">
        <f t="shared" si="24"/>
        <v>-3.5735424399751768E-2</v>
      </c>
    </row>
    <row r="6" spans="1:32">
      <c r="A6" s="32">
        <v>4</v>
      </c>
      <c r="B6" s="32">
        <v>9.6</v>
      </c>
      <c r="C6" s="32">
        <v>96</v>
      </c>
      <c r="D6" s="32">
        <v>0.6</v>
      </c>
      <c r="E6" s="32">
        <v>0</v>
      </c>
      <c r="F6" s="32">
        <v>400</v>
      </c>
      <c r="G6" s="73">
        <f t="shared" si="7"/>
        <v>0</v>
      </c>
      <c r="H6" s="32">
        <f t="shared" si="8"/>
        <v>784</v>
      </c>
      <c r="I6" s="73">
        <f t="shared" si="9"/>
        <v>1.1953478130074493</v>
      </c>
      <c r="J6" s="73">
        <f t="shared" si="10"/>
        <v>9.1566111294883807</v>
      </c>
      <c r="K6" s="73">
        <f t="shared" si="11"/>
        <v>8.7903466843088456</v>
      </c>
      <c r="L6" s="32">
        <f t="shared" si="12"/>
        <v>1200</v>
      </c>
      <c r="M6" s="32">
        <f t="shared" si="13"/>
        <v>140</v>
      </c>
      <c r="N6" s="200">
        <f t="shared" si="14"/>
        <v>133.33333333333334</v>
      </c>
      <c r="O6" s="73">
        <f t="shared" si="15"/>
        <v>0.24859577727117771</v>
      </c>
      <c r="P6" s="32">
        <f t="shared" si="16"/>
        <v>0</v>
      </c>
      <c r="Q6" s="201">
        <f t="shared" si="17"/>
        <v>0.64052287581699352</v>
      </c>
      <c r="R6" s="201">
        <f t="shared" si="0"/>
        <v>0.41759359802469137</v>
      </c>
      <c r="S6" s="201">
        <f t="shared" si="1"/>
        <v>0.33333333333333331</v>
      </c>
      <c r="T6" s="201">
        <f t="shared" si="2"/>
        <v>3.404292315943E-2</v>
      </c>
      <c r="U6" s="32">
        <f t="shared" si="3"/>
        <v>231</v>
      </c>
      <c r="V6" s="32">
        <f t="shared" si="4"/>
        <v>1680</v>
      </c>
      <c r="W6" s="73">
        <f t="shared" si="5"/>
        <v>186.66666666666666</v>
      </c>
      <c r="X6" s="32">
        <f t="shared" si="18"/>
        <v>2097.6666666666665</v>
      </c>
      <c r="Y6" s="32">
        <f t="shared" si="19"/>
        <v>0</v>
      </c>
      <c r="Z6" s="32">
        <f t="shared" si="20"/>
        <v>1224</v>
      </c>
      <c r="AA6" s="200">
        <f t="shared" si="6"/>
        <v>0</v>
      </c>
      <c r="AB6" s="200">
        <f t="shared" si="21"/>
        <v>1498176</v>
      </c>
      <c r="AC6" s="32">
        <f t="shared" si="22"/>
        <v>0</v>
      </c>
      <c r="AE6" s="32">
        <f t="shared" si="23"/>
        <v>0</v>
      </c>
      <c r="AF6" s="202">
        <f t="shared" si="24"/>
        <v>-3.404292315943E-2</v>
      </c>
    </row>
    <row r="7" spans="1:32">
      <c r="A7" s="32">
        <v>5</v>
      </c>
      <c r="B7" s="32">
        <v>10.1</v>
      </c>
      <c r="C7" s="32">
        <v>97</v>
      </c>
      <c r="D7" s="32">
        <v>2.6</v>
      </c>
      <c r="E7" s="32">
        <v>0.01</v>
      </c>
      <c r="F7" s="32">
        <v>400</v>
      </c>
      <c r="G7" s="73">
        <f t="shared" si="7"/>
        <v>2.7777777777777777</v>
      </c>
      <c r="H7" s="32">
        <f t="shared" si="8"/>
        <v>784</v>
      </c>
      <c r="I7" s="73">
        <f t="shared" si="9"/>
        <v>1.236124578570619</v>
      </c>
      <c r="J7" s="73">
        <f t="shared" si="10"/>
        <v>9.4522553031983332</v>
      </c>
      <c r="K7" s="73">
        <f t="shared" si="11"/>
        <v>9.1686876441023841</v>
      </c>
      <c r="L7" s="200">
        <f t="shared" si="12"/>
        <v>1165.2777777777778</v>
      </c>
      <c r="M7" s="32">
        <f t="shared" si="13"/>
        <v>100</v>
      </c>
      <c r="N7" s="200">
        <f t="shared" si="14"/>
        <v>133.33333333333334</v>
      </c>
      <c r="O7" s="73">
        <f t="shared" si="15"/>
        <v>0.20274946827118501</v>
      </c>
      <c r="P7" s="32">
        <f t="shared" si="16"/>
        <v>1.3698630136986301E-2</v>
      </c>
      <c r="Q7" s="201">
        <f t="shared" si="17"/>
        <v>0.64052287581699352</v>
      </c>
      <c r="R7" s="201">
        <f t="shared" si="0"/>
        <v>0.4425054813580247</v>
      </c>
      <c r="S7" s="201">
        <f t="shared" si="1"/>
        <v>0.33333333333333331</v>
      </c>
      <c r="T7" s="201">
        <f t="shared" si="2"/>
        <v>3.5243444251985168E-2</v>
      </c>
      <c r="U7" s="32">
        <f t="shared" si="3"/>
        <v>165</v>
      </c>
      <c r="V7" s="200">
        <f t="shared" si="4"/>
        <v>1631.3888888888889</v>
      </c>
      <c r="W7" s="73">
        <f t="shared" si="5"/>
        <v>186.66666666666666</v>
      </c>
      <c r="X7" s="32">
        <f t="shared" si="18"/>
        <v>1983.0555555555557</v>
      </c>
      <c r="Y7" s="32">
        <f t="shared" si="19"/>
        <v>1.2126106338522657E-2</v>
      </c>
      <c r="Z7" s="32">
        <f t="shared" si="20"/>
        <v>1248.0467425418649</v>
      </c>
      <c r="AA7" s="200">
        <f t="shared" si="6"/>
        <v>75410.584611287995</v>
      </c>
      <c r="AB7" s="200">
        <f t="shared" si="21"/>
        <v>1482210.0869580719</v>
      </c>
      <c r="AC7" s="32">
        <f t="shared" si="22"/>
        <v>7.7118956919042993E-3</v>
      </c>
      <c r="AE7" s="32">
        <f t="shared" si="23"/>
        <v>2.5706318973014331E-3</v>
      </c>
      <c r="AF7" s="203">
        <f t="shared" si="24"/>
        <v>-3.0102180457382301E-2</v>
      </c>
    </row>
    <row r="8" spans="1:32">
      <c r="A8" s="32">
        <v>6</v>
      </c>
      <c r="B8" s="32">
        <v>11.2</v>
      </c>
      <c r="C8" s="32">
        <v>94</v>
      </c>
      <c r="D8" s="32">
        <v>1.2</v>
      </c>
      <c r="E8" s="32">
        <v>0.22</v>
      </c>
      <c r="F8" s="32">
        <v>400</v>
      </c>
      <c r="G8" s="73">
        <f t="shared" si="7"/>
        <v>61.111111111111114</v>
      </c>
      <c r="H8" s="32">
        <f t="shared" si="8"/>
        <v>784</v>
      </c>
      <c r="I8" s="73">
        <f t="shared" si="9"/>
        <v>1.3301645769480379</v>
      </c>
      <c r="J8" s="73">
        <f t="shared" si="10"/>
        <v>10.132003353739801</v>
      </c>
      <c r="K8" s="73">
        <f t="shared" si="11"/>
        <v>9.5240831525154128</v>
      </c>
      <c r="L8" s="200">
        <f t="shared" si="12"/>
        <v>436.11111111111109</v>
      </c>
      <c r="M8" s="32">
        <f t="shared" si="13"/>
        <v>100</v>
      </c>
      <c r="N8" s="200">
        <f t="shared" si="14"/>
        <v>133.33333333333334</v>
      </c>
      <c r="O8" s="73">
        <f t="shared" si="15"/>
        <v>0.90809656614431444</v>
      </c>
      <c r="P8" s="32">
        <f t="shared" si="16"/>
        <v>0.23404255319148937</v>
      </c>
      <c r="Q8" s="201">
        <f t="shared" si="17"/>
        <v>0.64052287581699352</v>
      </c>
      <c r="R8" s="201">
        <f t="shared" si="0"/>
        <v>0.49816944000000002</v>
      </c>
      <c r="S8" s="201">
        <f t="shared" si="1"/>
        <v>0.33333333333333331</v>
      </c>
      <c r="T8" s="201">
        <f t="shared" si="2"/>
        <v>3.8035720188412031E-2</v>
      </c>
      <c r="U8" s="32">
        <f t="shared" si="3"/>
        <v>165</v>
      </c>
      <c r="V8" s="200">
        <f t="shared" si="4"/>
        <v>610.55555555555543</v>
      </c>
      <c r="W8" s="73">
        <f t="shared" si="5"/>
        <v>186.66666666666666</v>
      </c>
      <c r="X8" s="32">
        <f t="shared" si="18"/>
        <v>962.22222222222206</v>
      </c>
      <c r="Y8" s="32">
        <f t="shared" si="19"/>
        <v>0.23323702188396395</v>
      </c>
      <c r="Z8" s="32">
        <f t="shared" si="20"/>
        <v>1448.4258455016809</v>
      </c>
      <c r="AA8" s="200">
        <f t="shared" si="6"/>
        <v>703799.45149327116</v>
      </c>
      <c r="AB8" s="200">
        <f t="shared" si="21"/>
        <v>1394137.978423988</v>
      </c>
      <c r="AC8" s="32">
        <f t="shared" si="22"/>
        <v>0.13909969934284486</v>
      </c>
      <c r="AE8" s="32">
        <f t="shared" si="23"/>
        <v>4.636656644761495E-2</v>
      </c>
      <c r="AF8" s="203">
        <f t="shared" si="24"/>
        <v>5.4697412706817883E-2</v>
      </c>
    </row>
    <row r="9" spans="1:32">
      <c r="A9" s="32">
        <v>7</v>
      </c>
      <c r="B9" s="32">
        <v>13.1</v>
      </c>
      <c r="C9" s="32">
        <v>83</v>
      </c>
      <c r="D9" s="32">
        <v>2.1</v>
      </c>
      <c r="E9" s="32">
        <v>0.66</v>
      </c>
      <c r="F9" s="32">
        <v>400</v>
      </c>
      <c r="G9" s="73">
        <f t="shared" si="7"/>
        <v>183.33333333333334</v>
      </c>
      <c r="H9" s="32">
        <f t="shared" si="8"/>
        <v>784</v>
      </c>
      <c r="I9" s="73">
        <f t="shared" si="9"/>
        <v>1.5074683128893711</v>
      </c>
      <c r="J9" s="73">
        <f t="shared" si="10"/>
        <v>11.406331187446298</v>
      </c>
      <c r="K9" s="73">
        <f t="shared" si="11"/>
        <v>9.4672548855804273</v>
      </c>
      <c r="L9" s="32">
        <f t="shared" si="12"/>
        <v>200</v>
      </c>
      <c r="M9" s="32">
        <f t="shared" si="13"/>
        <v>100</v>
      </c>
      <c r="N9" s="200">
        <f t="shared" si="14"/>
        <v>133.33333333333334</v>
      </c>
      <c r="O9" s="73">
        <f t="shared" si="15"/>
        <v>4.4747914658443175</v>
      </c>
      <c r="P9" s="32">
        <f t="shared" si="16"/>
        <v>0.47826086956521741</v>
      </c>
      <c r="Q9" s="201">
        <f t="shared" si="17"/>
        <v>0.64052287581699352</v>
      </c>
      <c r="R9" s="201">
        <f t="shared" si="0"/>
        <v>0.59551813320987668</v>
      </c>
      <c r="S9" s="201">
        <f t="shared" si="1"/>
        <v>0.33333333333333331</v>
      </c>
      <c r="T9" s="201">
        <f t="shared" si="2"/>
        <v>4.3389769497864529E-2</v>
      </c>
      <c r="U9" s="32">
        <f t="shared" si="3"/>
        <v>165</v>
      </c>
      <c r="V9" s="32">
        <f t="shared" si="4"/>
        <v>280</v>
      </c>
      <c r="W9" s="73">
        <f t="shared" si="5"/>
        <v>186.66666666666666</v>
      </c>
      <c r="X9" s="32">
        <f t="shared" si="18"/>
        <v>631.66666666666663</v>
      </c>
      <c r="Y9" s="32">
        <f t="shared" si="19"/>
        <v>0.56975142099941978</v>
      </c>
      <c r="Z9" s="32">
        <f t="shared" si="20"/>
        <v>1583.8929809313001</v>
      </c>
      <c r="AA9" s="200">
        <f t="shared" si="6"/>
        <v>1128624.3882005573</v>
      </c>
      <c r="AB9" s="200">
        <f t="shared" si="21"/>
        <v>1380092.5868428824</v>
      </c>
      <c r="AC9" s="32">
        <f t="shared" si="22"/>
        <v>0.32384134161043882</v>
      </c>
      <c r="AE9" s="32">
        <f t="shared" si="23"/>
        <v>0.10794711387014627</v>
      </c>
      <c r="AF9" s="203">
        <f t="shared" si="24"/>
        <v>0.17250445824242802</v>
      </c>
    </row>
    <row r="10" spans="1:32">
      <c r="A10" s="32">
        <v>8</v>
      </c>
      <c r="B10" s="32">
        <v>15.9</v>
      </c>
      <c r="C10" s="32">
        <v>68</v>
      </c>
      <c r="D10" s="32">
        <v>2.2000000000000002</v>
      </c>
      <c r="E10" s="32">
        <v>1.66</v>
      </c>
      <c r="F10" s="32">
        <v>400</v>
      </c>
      <c r="G10" s="73">
        <f t="shared" si="7"/>
        <v>461.11111111111109</v>
      </c>
      <c r="H10" s="32">
        <f t="shared" si="8"/>
        <v>784</v>
      </c>
      <c r="I10" s="73">
        <f t="shared" si="9"/>
        <v>1.8065325234290854</v>
      </c>
      <c r="J10" s="73">
        <f t="shared" si="10"/>
        <v>13.536807049565484</v>
      </c>
      <c r="K10" s="73">
        <f t="shared" si="11"/>
        <v>9.2050287937045283</v>
      </c>
      <c r="L10" s="32">
        <f t="shared" si="12"/>
        <v>200</v>
      </c>
      <c r="M10" s="32">
        <f t="shared" si="13"/>
        <v>100</v>
      </c>
      <c r="N10" s="200">
        <f t="shared" si="14"/>
        <v>133.33333333333334</v>
      </c>
      <c r="O10" s="73">
        <f t="shared" si="15"/>
        <v>9.9964113596791275</v>
      </c>
      <c r="P10" s="32">
        <f t="shared" si="16"/>
        <v>0.69747899159663862</v>
      </c>
      <c r="Q10" s="201">
        <f t="shared" si="17"/>
        <v>0.64052287581699352</v>
      </c>
      <c r="R10" s="201">
        <f t="shared" si="0"/>
        <v>0.73512965913580242</v>
      </c>
      <c r="S10" s="201">
        <f t="shared" si="1"/>
        <v>0.33333333333333331</v>
      </c>
      <c r="T10" s="201">
        <f t="shared" si="2"/>
        <v>5.2683636159387363E-2</v>
      </c>
      <c r="U10" s="32">
        <f t="shared" si="3"/>
        <v>165</v>
      </c>
      <c r="V10" s="32">
        <f t="shared" si="4"/>
        <v>280</v>
      </c>
      <c r="W10" s="73">
        <f t="shared" si="5"/>
        <v>186.66666666666666</v>
      </c>
      <c r="X10" s="32">
        <f t="shared" si="18"/>
        <v>631.66666666666663</v>
      </c>
      <c r="Y10" s="32">
        <f t="shared" si="19"/>
        <v>1.025700704263059</v>
      </c>
      <c r="Z10" s="32">
        <f t="shared" si="20"/>
        <v>1871.9009448594988</v>
      </c>
      <c r="AA10" s="200">
        <f t="shared" si="6"/>
        <v>2031817.3630793886</v>
      </c>
      <c r="AB10" s="200">
        <f t="shared" si="21"/>
        <v>1472195.7842864958</v>
      </c>
      <c r="AC10" s="32">
        <f t="shared" si="22"/>
        <v>0.52128775035694475</v>
      </c>
      <c r="AE10" s="32">
        <f t="shared" si="23"/>
        <v>0.17376258345231491</v>
      </c>
      <c r="AF10" s="203">
        <f t="shared" si="24"/>
        <v>0.2948415307452425</v>
      </c>
    </row>
    <row r="11" spans="1:32">
      <c r="A11" s="32">
        <v>9</v>
      </c>
      <c r="B11" s="32">
        <v>18.3</v>
      </c>
      <c r="C11" s="32">
        <v>63</v>
      </c>
      <c r="D11" s="32">
        <v>1.4</v>
      </c>
      <c r="E11" s="32">
        <v>2.37</v>
      </c>
      <c r="F11" s="32">
        <v>400</v>
      </c>
      <c r="G11" s="73">
        <f t="shared" si="7"/>
        <v>658.33333333333337</v>
      </c>
      <c r="H11" s="32">
        <f t="shared" si="8"/>
        <v>784</v>
      </c>
      <c r="I11" s="73">
        <f t="shared" si="9"/>
        <v>2.1030256421813087</v>
      </c>
      <c r="J11" s="73">
        <f t="shared" si="10"/>
        <v>15.628743364320025</v>
      </c>
      <c r="K11" s="73">
        <f t="shared" si="11"/>
        <v>9.8461083195216155</v>
      </c>
      <c r="L11" s="32">
        <f t="shared" si="12"/>
        <v>200</v>
      </c>
      <c r="M11" s="32">
        <f t="shared" si="13"/>
        <v>100</v>
      </c>
      <c r="N11" s="200">
        <f t="shared" si="14"/>
        <v>133.33333333333334</v>
      </c>
      <c r="O11" s="73">
        <f t="shared" si="15"/>
        <v>13.344542411073251</v>
      </c>
      <c r="P11" s="32">
        <f t="shared" si="16"/>
        <v>0.76699029126213591</v>
      </c>
      <c r="Q11" s="201">
        <f t="shared" si="17"/>
        <v>0.64052287581699352</v>
      </c>
      <c r="R11" s="201">
        <f t="shared" si="0"/>
        <v>0.84255857765432107</v>
      </c>
      <c r="S11" s="201">
        <f t="shared" si="1"/>
        <v>0.33333333333333331</v>
      </c>
      <c r="T11" s="201">
        <f t="shared" si="2"/>
        <v>6.2218987681659919E-2</v>
      </c>
      <c r="U11" s="32">
        <f t="shared" si="3"/>
        <v>165</v>
      </c>
      <c r="V11" s="32">
        <f t="shared" si="4"/>
        <v>280</v>
      </c>
      <c r="W11" s="73">
        <f t="shared" si="5"/>
        <v>186.66666666666666</v>
      </c>
      <c r="X11" s="32">
        <f t="shared" si="18"/>
        <v>631.66666666666663</v>
      </c>
      <c r="Y11" s="32">
        <f t="shared" si="19"/>
        <v>1.2927529833424602</v>
      </c>
      <c r="Z11" s="32">
        <f t="shared" si="20"/>
        <v>2040.5889678113208</v>
      </c>
      <c r="AA11" s="200">
        <f t="shared" si="6"/>
        <v>2560823.0030563017</v>
      </c>
      <c r="AB11" s="200">
        <f t="shared" si="21"/>
        <v>1603180.33249697</v>
      </c>
      <c r="AC11" s="32">
        <f t="shared" si="22"/>
        <v>0.61299846255526291</v>
      </c>
      <c r="AE11" s="32">
        <f t="shared" si="23"/>
        <v>0.2043328208517543</v>
      </c>
      <c r="AF11" s="203">
        <f t="shared" si="24"/>
        <v>0.34644665402184871</v>
      </c>
    </row>
    <row r="12" spans="1:32">
      <c r="A12" s="32">
        <v>10</v>
      </c>
      <c r="B12" s="32">
        <v>19.3</v>
      </c>
      <c r="C12" s="32">
        <v>58</v>
      </c>
      <c r="D12" s="32">
        <v>1.2</v>
      </c>
      <c r="E12" s="32">
        <v>2.93</v>
      </c>
      <c r="F12" s="32">
        <v>400</v>
      </c>
      <c r="G12" s="73">
        <f t="shared" si="7"/>
        <v>813.88888888888891</v>
      </c>
      <c r="H12" s="32">
        <f t="shared" si="8"/>
        <v>784</v>
      </c>
      <c r="I12" s="73">
        <f t="shared" si="9"/>
        <v>2.2386164332410003</v>
      </c>
      <c r="J12" s="73">
        <f t="shared" si="10"/>
        <v>16.579508973534864</v>
      </c>
      <c r="K12" s="73">
        <f t="shared" si="11"/>
        <v>9.616115204650221</v>
      </c>
      <c r="L12" s="32">
        <f t="shared" si="12"/>
        <v>200</v>
      </c>
      <c r="M12" s="32">
        <f t="shared" si="13"/>
        <v>100</v>
      </c>
      <c r="N12" s="200">
        <f t="shared" si="14"/>
        <v>133.33333333333334</v>
      </c>
      <c r="O12" s="73">
        <f t="shared" si="15"/>
        <v>16.069370235887636</v>
      </c>
      <c r="P12" s="32">
        <f t="shared" si="16"/>
        <v>0.80273972602739718</v>
      </c>
      <c r="Q12" s="201">
        <f t="shared" si="17"/>
        <v>0.64052287581699352</v>
      </c>
      <c r="R12" s="201">
        <f t="shared" si="0"/>
        <v>0.88173279000000004</v>
      </c>
      <c r="S12" s="201">
        <f t="shared" si="1"/>
        <v>0.33333333333333331</v>
      </c>
      <c r="T12" s="201">
        <f t="shared" si="2"/>
        <v>6.6684659863075632E-2</v>
      </c>
      <c r="U12" s="32">
        <f t="shared" si="3"/>
        <v>165</v>
      </c>
      <c r="V12" s="32">
        <f t="shared" si="4"/>
        <v>280</v>
      </c>
      <c r="W12" s="73">
        <f t="shared" si="5"/>
        <v>186.66666666666666</v>
      </c>
      <c r="X12" s="32">
        <f t="shared" si="18"/>
        <v>631.66666666666663</v>
      </c>
      <c r="Y12" s="32">
        <f t="shared" si="19"/>
        <v>1.415915465490065</v>
      </c>
      <c r="Z12" s="32">
        <f t="shared" si="20"/>
        <v>2118.3866023678911</v>
      </c>
      <c r="AA12" s="200">
        <f t="shared" si="6"/>
        <v>2804796.3850257061</v>
      </c>
      <c r="AB12" s="200">
        <f t="shared" si="21"/>
        <v>1682765.4120660713</v>
      </c>
      <c r="AC12" s="32">
        <f t="shared" si="22"/>
        <v>0.65000431698848149</v>
      </c>
      <c r="AE12" s="32">
        <f t="shared" si="23"/>
        <v>0.21666810566282715</v>
      </c>
      <c r="AF12" s="203">
        <f t="shared" si="24"/>
        <v>0.36665155146257872</v>
      </c>
    </row>
    <row r="13" spans="1:32">
      <c r="A13" s="32">
        <v>11</v>
      </c>
      <c r="B13" s="32">
        <v>20.3</v>
      </c>
      <c r="C13" s="32">
        <v>48</v>
      </c>
      <c r="D13" s="32">
        <v>2.2999999999999998</v>
      </c>
      <c r="E13" s="32">
        <v>3.09</v>
      </c>
      <c r="F13" s="32">
        <v>400</v>
      </c>
      <c r="G13" s="73">
        <f t="shared" si="7"/>
        <v>858.33333333333337</v>
      </c>
      <c r="H13" s="32">
        <f t="shared" si="8"/>
        <v>784</v>
      </c>
      <c r="I13" s="73">
        <f t="shared" si="9"/>
        <v>2.381793636174288</v>
      </c>
      <c r="J13" s="73">
        <f t="shared" si="10"/>
        <v>17.579789463482271</v>
      </c>
      <c r="K13" s="73">
        <f t="shared" si="11"/>
        <v>8.4382989424714907</v>
      </c>
      <c r="L13" s="32">
        <f t="shared" si="12"/>
        <v>200</v>
      </c>
      <c r="M13" s="32">
        <f t="shared" si="13"/>
        <v>100</v>
      </c>
      <c r="N13" s="200">
        <f t="shared" si="14"/>
        <v>133.33333333333334</v>
      </c>
      <c r="O13" s="73">
        <f t="shared" si="15"/>
        <v>21.095747356178723</v>
      </c>
      <c r="P13" s="32">
        <f t="shared" si="16"/>
        <v>0.81102362204724421</v>
      </c>
      <c r="Q13" s="201">
        <f t="shared" si="17"/>
        <v>0.64052287581699352</v>
      </c>
      <c r="R13" s="201">
        <f t="shared" si="0"/>
        <v>0.91660097765432091</v>
      </c>
      <c r="S13" s="201">
        <f t="shared" si="1"/>
        <v>0.33333333333333331</v>
      </c>
      <c r="T13" s="201">
        <f t="shared" si="2"/>
        <v>7.1470848799503536E-2</v>
      </c>
      <c r="U13" s="32">
        <f t="shared" si="3"/>
        <v>165</v>
      </c>
      <c r="V13" s="32">
        <f t="shared" si="4"/>
        <v>280</v>
      </c>
      <c r="W13" s="73">
        <f t="shared" si="5"/>
        <v>186.66666666666666</v>
      </c>
      <c r="X13" s="32">
        <f t="shared" si="18"/>
        <v>631.66666666666663</v>
      </c>
      <c r="Y13" s="32">
        <f t="shared" si="19"/>
        <v>1.4870973430945544</v>
      </c>
      <c r="Z13" s="32">
        <f t="shared" si="20"/>
        <v>2163.3498217213937</v>
      </c>
      <c r="AA13" s="200">
        <f t="shared" si="6"/>
        <v>2945801.0409182901</v>
      </c>
      <c r="AB13" s="200">
        <f t="shared" si="21"/>
        <v>1734281.4102236959</v>
      </c>
      <c r="AC13" s="32">
        <f t="shared" si="22"/>
        <v>0.66999628154720092</v>
      </c>
      <c r="AE13" s="32">
        <f t="shared" si="23"/>
        <v>0.22333209384906696</v>
      </c>
      <c r="AF13" s="203">
        <f t="shared" si="24"/>
        <v>0.37519333889863044</v>
      </c>
    </row>
    <row r="14" spans="1:32">
      <c r="A14" s="32">
        <v>12</v>
      </c>
      <c r="B14" s="32">
        <v>21.4</v>
      </c>
      <c r="C14" s="32">
        <v>43</v>
      </c>
      <c r="D14" s="32">
        <v>2.7</v>
      </c>
      <c r="E14" s="32">
        <v>3.27</v>
      </c>
      <c r="F14" s="32">
        <v>400</v>
      </c>
      <c r="G14" s="73">
        <f t="shared" si="7"/>
        <v>908.33333333333337</v>
      </c>
      <c r="H14" s="32">
        <f t="shared" si="8"/>
        <v>784</v>
      </c>
      <c r="I14" s="73">
        <f t="shared" si="9"/>
        <v>2.5484763196837203</v>
      </c>
      <c r="J14" s="73">
        <f t="shared" si="10"/>
        <v>18.739814327929583</v>
      </c>
      <c r="K14" s="73">
        <f t="shared" si="11"/>
        <v>8.05812016100972</v>
      </c>
      <c r="L14" s="32">
        <f t="shared" si="12"/>
        <v>200</v>
      </c>
      <c r="M14" s="32">
        <f t="shared" si="13"/>
        <v>100</v>
      </c>
      <c r="N14" s="200">
        <f t="shared" si="14"/>
        <v>133.33333333333334</v>
      </c>
      <c r="O14" s="73">
        <f t="shared" si="15"/>
        <v>24.650063462122759</v>
      </c>
      <c r="P14" s="32">
        <f t="shared" si="16"/>
        <v>0.81954887218045114</v>
      </c>
      <c r="Q14" s="201">
        <f t="shared" si="17"/>
        <v>0.64052287581699352</v>
      </c>
      <c r="R14" s="201">
        <f t="shared" si="0"/>
        <v>0.94910463999999994</v>
      </c>
      <c r="S14" s="201">
        <f t="shared" si="1"/>
        <v>0.33333333333333331</v>
      </c>
      <c r="T14" s="201">
        <f t="shared" si="2"/>
        <v>7.7133358111362751E-2</v>
      </c>
      <c r="U14" s="32">
        <f t="shared" si="3"/>
        <v>165</v>
      </c>
      <c r="V14" s="32">
        <f t="shared" si="4"/>
        <v>280</v>
      </c>
      <c r="W14" s="73">
        <f t="shared" si="5"/>
        <v>186.66666666666666</v>
      </c>
      <c r="X14" s="32">
        <f t="shared" si="18"/>
        <v>631.66666666666663</v>
      </c>
      <c r="Y14" s="32">
        <f t="shared" si="19"/>
        <v>1.5560176946809015</v>
      </c>
      <c r="Z14" s="32">
        <f t="shared" si="20"/>
        <v>2206.884510473436</v>
      </c>
      <c r="AA14" s="200">
        <f t="shared" si="6"/>
        <v>3082325.8248446952</v>
      </c>
      <c r="AB14" s="200">
        <f t="shared" si="21"/>
        <v>1788013.4177228822</v>
      </c>
      <c r="AC14" s="32">
        <f t="shared" si="22"/>
        <v>0.68843138881656007</v>
      </c>
      <c r="AE14" s="32">
        <f t="shared" si="23"/>
        <v>0.22947712960552002</v>
      </c>
      <c r="AF14" s="203">
        <f t="shared" si="24"/>
        <v>0.38182090109967731</v>
      </c>
    </row>
    <row r="15" spans="1:32">
      <c r="A15" s="32">
        <v>13</v>
      </c>
      <c r="B15" s="32">
        <v>21.6</v>
      </c>
      <c r="C15" s="32">
        <v>41</v>
      </c>
      <c r="D15" s="32">
        <v>3.3</v>
      </c>
      <c r="E15" s="32">
        <v>3.08</v>
      </c>
      <c r="F15" s="32">
        <v>400</v>
      </c>
      <c r="G15" s="73">
        <f t="shared" si="7"/>
        <v>855.55555555555554</v>
      </c>
      <c r="H15" s="32">
        <f t="shared" si="8"/>
        <v>784</v>
      </c>
      <c r="I15" s="73">
        <f t="shared" si="9"/>
        <v>2.579852995818535</v>
      </c>
      <c r="J15" s="73">
        <f t="shared" si="10"/>
        <v>18.95766586016741</v>
      </c>
      <c r="K15" s="73">
        <f t="shared" si="11"/>
        <v>7.7726430026686373</v>
      </c>
      <c r="L15" s="32">
        <f t="shared" si="12"/>
        <v>200</v>
      </c>
      <c r="M15" s="32">
        <f t="shared" si="13"/>
        <v>100</v>
      </c>
      <c r="N15" s="200">
        <f t="shared" si="14"/>
        <v>133.33333333333334</v>
      </c>
      <c r="O15" s="73">
        <f t="shared" si="15"/>
        <v>25.811591209612548</v>
      </c>
      <c r="P15" s="32">
        <f t="shared" si="16"/>
        <v>0.81052631578947365</v>
      </c>
      <c r="Q15" s="201">
        <f t="shared" si="17"/>
        <v>0.64052287581699352</v>
      </c>
      <c r="R15" s="201">
        <f t="shared" si="0"/>
        <v>0.95428005728395049</v>
      </c>
      <c r="S15" s="201">
        <f t="shared" si="1"/>
        <v>0.33333333333333331</v>
      </c>
      <c r="T15" s="201">
        <f t="shared" si="2"/>
        <v>7.8210099665055405E-2</v>
      </c>
      <c r="U15" s="32">
        <f t="shared" si="3"/>
        <v>165</v>
      </c>
      <c r="V15" s="32">
        <f t="shared" si="4"/>
        <v>280</v>
      </c>
      <c r="W15" s="73">
        <f t="shared" si="5"/>
        <v>186.66666666666666</v>
      </c>
      <c r="X15" s="32">
        <f t="shared" si="18"/>
        <v>631.66666666666663</v>
      </c>
      <c r="Y15" s="32">
        <f t="shared" si="19"/>
        <v>1.5472786950976902</v>
      </c>
      <c r="Z15" s="32">
        <f t="shared" si="20"/>
        <v>2201.3643757367076</v>
      </c>
      <c r="AA15" s="200">
        <f t="shared" si="6"/>
        <v>3065014.6823103148</v>
      </c>
      <c r="AB15" s="200">
        <f t="shared" si="21"/>
        <v>1780990.4324523499</v>
      </c>
      <c r="AC15" s="32">
        <f t="shared" si="22"/>
        <v>0.68614261795929299</v>
      </c>
      <c r="AE15" s="32">
        <f t="shared" si="23"/>
        <v>0.228714205986431</v>
      </c>
      <c r="AF15" s="203">
        <f t="shared" si="24"/>
        <v>0.37921831230780656</v>
      </c>
    </row>
    <row r="16" spans="1:32">
      <c r="A16" s="32">
        <v>14</v>
      </c>
      <c r="B16" s="32">
        <v>21.4</v>
      </c>
      <c r="C16" s="32">
        <v>38</v>
      </c>
      <c r="D16" s="32">
        <v>4</v>
      </c>
      <c r="E16" s="32">
        <v>2.78</v>
      </c>
      <c r="F16" s="32">
        <v>400</v>
      </c>
      <c r="G16" s="73">
        <f t="shared" si="7"/>
        <v>772.22222222222217</v>
      </c>
      <c r="H16" s="32">
        <f t="shared" si="8"/>
        <v>784</v>
      </c>
      <c r="I16" s="73">
        <f t="shared" si="9"/>
        <v>2.5484763196837203</v>
      </c>
      <c r="J16" s="73">
        <f t="shared" si="10"/>
        <v>18.739814327929583</v>
      </c>
      <c r="K16" s="73">
        <f t="shared" si="11"/>
        <v>7.1211294446132412</v>
      </c>
      <c r="L16" s="32">
        <f t="shared" si="12"/>
        <v>200</v>
      </c>
      <c r="M16" s="32">
        <f t="shared" si="13"/>
        <v>100</v>
      </c>
      <c r="N16" s="200">
        <f t="shared" si="14"/>
        <v>133.33333333333334</v>
      </c>
      <c r="O16" s="73">
        <f t="shared" si="15"/>
        <v>26.812349730730013</v>
      </c>
      <c r="P16" s="32">
        <f t="shared" si="16"/>
        <v>0.79428571428571437</v>
      </c>
      <c r="Q16" s="201">
        <f t="shared" si="17"/>
        <v>0.64052287581699352</v>
      </c>
      <c r="R16" s="201">
        <f t="shared" si="0"/>
        <v>0.94910463999999994</v>
      </c>
      <c r="S16" s="201">
        <f t="shared" si="1"/>
        <v>0.33333333333333331</v>
      </c>
      <c r="T16" s="201">
        <f t="shared" si="2"/>
        <v>7.7133358111362751E-2</v>
      </c>
      <c r="U16" s="32">
        <f t="shared" si="3"/>
        <v>165</v>
      </c>
      <c r="V16" s="32">
        <f t="shared" si="4"/>
        <v>280</v>
      </c>
      <c r="W16" s="73">
        <f t="shared" si="5"/>
        <v>186.66666666666666</v>
      </c>
      <c r="X16" s="32">
        <f t="shared" si="18"/>
        <v>631.66666666666663</v>
      </c>
      <c r="Y16" s="32">
        <f t="shared" si="19"/>
        <v>1.5080523785879856</v>
      </c>
      <c r="Z16" s="32">
        <f t="shared" si="20"/>
        <v>2176.5864191414107</v>
      </c>
      <c r="AA16" s="200">
        <f t="shared" si="6"/>
        <v>2987311.0104274643</v>
      </c>
      <c r="AB16" s="200">
        <f t="shared" si="21"/>
        <v>1750217.4295633645</v>
      </c>
      <c r="AC16" s="32">
        <f t="shared" si="22"/>
        <v>0.67569545027277034</v>
      </c>
      <c r="AE16" s="32">
        <f t="shared" si="23"/>
        <v>0.2252318167575901</v>
      </c>
      <c r="AF16" s="203">
        <f t="shared" si="24"/>
        <v>0.37333027540381752</v>
      </c>
    </row>
    <row r="17" spans="1:53">
      <c r="A17" s="32">
        <v>15</v>
      </c>
      <c r="B17" s="32">
        <v>21</v>
      </c>
      <c r="C17" s="32">
        <v>45</v>
      </c>
      <c r="D17" s="32">
        <v>4.4000000000000004</v>
      </c>
      <c r="E17" s="32">
        <v>2.0499999999999998</v>
      </c>
      <c r="F17" s="32">
        <v>400</v>
      </c>
      <c r="G17" s="73">
        <f t="shared" si="7"/>
        <v>569.44444444444434</v>
      </c>
      <c r="H17" s="32">
        <f t="shared" si="8"/>
        <v>784</v>
      </c>
      <c r="I17" s="73">
        <f t="shared" si="9"/>
        <v>2.4867217821894263</v>
      </c>
      <c r="J17" s="73">
        <f t="shared" si="10"/>
        <v>18.310577169643381</v>
      </c>
      <c r="K17" s="73">
        <f t="shared" si="11"/>
        <v>8.2397597263395213</v>
      </c>
      <c r="L17" s="32">
        <f t="shared" si="12"/>
        <v>200</v>
      </c>
      <c r="M17" s="32">
        <f t="shared" si="13"/>
        <v>100</v>
      </c>
      <c r="N17" s="200">
        <f t="shared" si="14"/>
        <v>133.33333333333334</v>
      </c>
      <c r="O17" s="73">
        <f t="shared" si="15"/>
        <v>23.240347946085826</v>
      </c>
      <c r="P17" s="32">
        <f t="shared" si="16"/>
        <v>0.74007220216606495</v>
      </c>
      <c r="Q17" s="201">
        <f t="shared" si="17"/>
        <v>0.64052287581699352</v>
      </c>
      <c r="R17" s="201">
        <f t="shared" si="0"/>
        <v>0.93805432098765429</v>
      </c>
      <c r="S17" s="201">
        <f t="shared" si="1"/>
        <v>0.33333333333333331</v>
      </c>
      <c r="T17" s="201">
        <f t="shared" si="2"/>
        <v>7.5024142377540529E-2</v>
      </c>
      <c r="U17" s="32">
        <f t="shared" si="3"/>
        <v>165</v>
      </c>
      <c r="V17" s="32">
        <f t="shared" si="4"/>
        <v>280</v>
      </c>
      <c r="W17" s="73">
        <f t="shared" si="5"/>
        <v>186.66666666666666</v>
      </c>
      <c r="X17" s="32">
        <f t="shared" si="18"/>
        <v>631.66666666666663</v>
      </c>
      <c r="Y17" s="32">
        <f t="shared" si="19"/>
        <v>1.3887614675532158</v>
      </c>
      <c r="Z17" s="32">
        <f t="shared" si="20"/>
        <v>2101.234327004448</v>
      </c>
      <c r="AA17" s="200">
        <f t="shared" si="6"/>
        <v>2751006.8494859487</v>
      </c>
      <c r="AB17" s="200">
        <f t="shared" si="21"/>
        <v>1664178.8474958865</v>
      </c>
      <c r="AC17" s="32">
        <f t="shared" si="22"/>
        <v>0.6421137991990995</v>
      </c>
      <c r="AE17" s="32">
        <f t="shared" si="23"/>
        <v>0.21403793306636648</v>
      </c>
      <c r="AF17" s="203">
        <f t="shared" si="24"/>
        <v>0.3530517237551925</v>
      </c>
    </row>
    <row r="18" spans="1:53">
      <c r="A18" s="32">
        <v>16</v>
      </c>
      <c r="B18" s="32">
        <v>21.7</v>
      </c>
      <c r="C18" s="32">
        <v>48</v>
      </c>
      <c r="D18" s="32">
        <v>3.7</v>
      </c>
      <c r="E18" s="32">
        <v>1.6</v>
      </c>
      <c r="F18" s="32">
        <v>400</v>
      </c>
      <c r="G18" s="73">
        <f t="shared" si="7"/>
        <v>444.44444444444446</v>
      </c>
      <c r="H18" s="32">
        <f t="shared" si="8"/>
        <v>784</v>
      </c>
      <c r="I18" s="73">
        <f t="shared" si="9"/>
        <v>2.5956675079724603</v>
      </c>
      <c r="J18" s="73">
        <f t="shared" si="10"/>
        <v>19.067407658781622</v>
      </c>
      <c r="K18" s="73">
        <f t="shared" si="11"/>
        <v>9.1523556762151799</v>
      </c>
      <c r="L18" s="32">
        <f t="shared" si="12"/>
        <v>200</v>
      </c>
      <c r="M18" s="32">
        <f t="shared" si="13"/>
        <v>100</v>
      </c>
      <c r="N18" s="200">
        <f t="shared" si="14"/>
        <v>133.33333333333334</v>
      </c>
      <c r="O18" s="73">
        <f t="shared" si="15"/>
        <v>22.880889190537943</v>
      </c>
      <c r="P18" s="32">
        <f t="shared" si="16"/>
        <v>0.68965517241379315</v>
      </c>
      <c r="Q18" s="201">
        <f t="shared" si="17"/>
        <v>0.64052287581699352</v>
      </c>
      <c r="R18" s="201">
        <f t="shared" si="0"/>
        <v>0.95677758999999996</v>
      </c>
      <c r="S18" s="201">
        <f t="shared" si="1"/>
        <v>0.33333333333333331</v>
      </c>
      <c r="T18" s="201">
        <f t="shared" si="2"/>
        <v>7.8754093928216667E-2</v>
      </c>
      <c r="U18" s="32">
        <f t="shared" si="3"/>
        <v>165</v>
      </c>
      <c r="V18" s="32">
        <f t="shared" si="4"/>
        <v>280</v>
      </c>
      <c r="W18" s="73">
        <f t="shared" si="5"/>
        <v>186.66666666666666</v>
      </c>
      <c r="X18" s="32">
        <f t="shared" si="18"/>
        <v>631.66666666666663</v>
      </c>
      <c r="Y18" s="32">
        <f t="shared" si="19"/>
        <v>1.319983705610122</v>
      </c>
      <c r="Z18" s="32">
        <f t="shared" si="20"/>
        <v>2057.7897073770605</v>
      </c>
      <c r="AA18" s="200">
        <f t="shared" si="6"/>
        <v>2614764.5223344611</v>
      </c>
      <c r="AB18" s="200">
        <f t="shared" si="21"/>
        <v>1619733.9574525068</v>
      </c>
      <c r="AC18" s="32">
        <f t="shared" si="22"/>
        <v>0.62145278383808755</v>
      </c>
      <c r="AE18" s="32">
        <f t="shared" si="23"/>
        <v>0.20715092794602918</v>
      </c>
      <c r="AF18" s="203">
        <f t="shared" si="24"/>
        <v>0.33554776196384173</v>
      </c>
    </row>
    <row r="19" spans="1:53">
      <c r="A19" s="32">
        <v>17</v>
      </c>
      <c r="B19" s="32">
        <v>19.600000000000001</v>
      </c>
      <c r="C19" s="32">
        <v>60</v>
      </c>
      <c r="D19" s="32">
        <v>4</v>
      </c>
      <c r="E19" s="32">
        <v>1.03</v>
      </c>
      <c r="F19" s="32">
        <v>400</v>
      </c>
      <c r="G19" s="73">
        <f t="shared" si="7"/>
        <v>286.11111111111109</v>
      </c>
      <c r="H19" s="32">
        <f t="shared" si="8"/>
        <v>784</v>
      </c>
      <c r="I19" s="73">
        <f t="shared" si="9"/>
        <v>2.2807570685090988</v>
      </c>
      <c r="J19" s="73">
        <f t="shared" si="10"/>
        <v>16.874299120066631</v>
      </c>
      <c r="K19" s="73">
        <f t="shared" si="11"/>
        <v>10.124579472039978</v>
      </c>
      <c r="L19" s="32">
        <f t="shared" si="12"/>
        <v>200</v>
      </c>
      <c r="M19" s="32">
        <f t="shared" si="13"/>
        <v>100</v>
      </c>
      <c r="N19" s="200">
        <f t="shared" si="14"/>
        <v>133.33333333333334</v>
      </c>
      <c r="O19" s="73">
        <f t="shared" si="15"/>
        <v>15.576276110830737</v>
      </c>
      <c r="P19" s="32">
        <f t="shared" si="16"/>
        <v>0.58857142857142852</v>
      </c>
      <c r="Q19" s="201">
        <f t="shared" si="17"/>
        <v>0.64052287581699352</v>
      </c>
      <c r="R19" s="201">
        <f t="shared" si="0"/>
        <v>0.89267824000000007</v>
      </c>
      <c r="S19" s="201">
        <f t="shared" si="1"/>
        <v>0.33333333333333331</v>
      </c>
      <c r="T19" s="201">
        <f t="shared" si="2"/>
        <v>6.8085846318859999E-2</v>
      </c>
      <c r="U19" s="32">
        <f t="shared" si="3"/>
        <v>165</v>
      </c>
      <c r="V19" s="32">
        <f t="shared" si="4"/>
        <v>280</v>
      </c>
      <c r="W19" s="73">
        <f t="shared" si="5"/>
        <v>186.66666666666666</v>
      </c>
      <c r="X19" s="32">
        <f t="shared" si="18"/>
        <v>631.66666666666663</v>
      </c>
      <c r="Y19" s="32">
        <f t="shared" si="19"/>
        <v>1.0510411079677746</v>
      </c>
      <c r="Z19" s="32">
        <f t="shared" si="20"/>
        <v>1887.9076331996444</v>
      </c>
      <c r="AA19" s="200">
        <f t="shared" si="6"/>
        <v>2082014.3377140844</v>
      </c>
      <c r="AB19" s="200">
        <f t="shared" si="21"/>
        <v>1482180.8937793984</v>
      </c>
      <c r="AC19" s="32">
        <f t="shared" si="22"/>
        <v>0.53070642370622145</v>
      </c>
      <c r="AE19" s="32">
        <f t="shared" si="23"/>
        <v>0.17690214123540715</v>
      </c>
      <c r="AF19" s="203">
        <f t="shared" si="24"/>
        <v>0.2857184361519543</v>
      </c>
    </row>
    <row r="20" spans="1:53">
      <c r="A20" s="32">
        <v>18</v>
      </c>
      <c r="B20" s="32">
        <v>18.3</v>
      </c>
      <c r="C20" s="32">
        <v>68</v>
      </c>
      <c r="D20" s="32">
        <v>4.0999999999999996</v>
      </c>
      <c r="E20" s="32">
        <v>0.37</v>
      </c>
      <c r="F20" s="32">
        <v>400</v>
      </c>
      <c r="G20" s="73">
        <f t="shared" si="7"/>
        <v>102.77777777777777</v>
      </c>
      <c r="H20" s="32">
        <f t="shared" si="8"/>
        <v>784</v>
      </c>
      <c r="I20" s="73">
        <f t="shared" si="9"/>
        <v>2.1030256421813087</v>
      </c>
      <c r="J20" s="73">
        <f t="shared" si="10"/>
        <v>15.628743364320025</v>
      </c>
      <c r="K20" s="73">
        <f t="shared" si="11"/>
        <v>10.627545487737615</v>
      </c>
      <c r="L20" s="32">
        <f t="shared" si="12"/>
        <v>200</v>
      </c>
      <c r="M20" s="32">
        <f t="shared" si="13"/>
        <v>100</v>
      </c>
      <c r="N20" s="200">
        <f t="shared" si="14"/>
        <v>133.33333333333334</v>
      </c>
      <c r="O20" s="73">
        <f t="shared" si="15"/>
        <v>11.54122586903633</v>
      </c>
      <c r="P20" s="32">
        <f t="shared" si="16"/>
        <v>0.33944954128440363</v>
      </c>
      <c r="Q20" s="201">
        <f t="shared" si="17"/>
        <v>0.64052287581699352</v>
      </c>
      <c r="R20" s="201">
        <f t="shared" si="0"/>
        <v>0.84255857765432107</v>
      </c>
      <c r="S20" s="201">
        <f t="shared" si="1"/>
        <v>0.33333333333333331</v>
      </c>
      <c r="T20" s="201">
        <f t="shared" si="2"/>
        <v>6.2218987681659919E-2</v>
      </c>
      <c r="U20" s="32">
        <f t="shared" si="3"/>
        <v>165</v>
      </c>
      <c r="V20" s="32">
        <f t="shared" si="4"/>
        <v>280</v>
      </c>
      <c r="W20" s="73">
        <f t="shared" si="5"/>
        <v>186.66666666666666</v>
      </c>
      <c r="X20" s="32">
        <f t="shared" si="18"/>
        <v>631.66666666666663</v>
      </c>
      <c r="Y20" s="32">
        <f t="shared" si="19"/>
        <v>0.57213815114598943</v>
      </c>
      <c r="Z20" s="32">
        <f t="shared" si="20"/>
        <v>1585.4005988072167</v>
      </c>
      <c r="AA20" s="200">
        <f t="shared" si="6"/>
        <v>1133352.2778594312</v>
      </c>
      <c r="AB20" s="200">
        <f t="shared" si="21"/>
        <v>1380142.78083885</v>
      </c>
      <c r="AC20" s="32">
        <f t="shared" si="22"/>
        <v>0.32501779659990726</v>
      </c>
      <c r="AE20" s="32">
        <f t="shared" si="23"/>
        <v>0.10833926553330242</v>
      </c>
      <c r="AF20" s="203">
        <f t="shared" si="24"/>
        <v>0.15445954338494491</v>
      </c>
      <c r="AX20" s="73"/>
    </row>
    <row r="21" spans="1:53">
      <c r="A21" s="32">
        <v>19</v>
      </c>
      <c r="B21" s="32">
        <v>17.5</v>
      </c>
      <c r="C21" s="32">
        <v>72</v>
      </c>
      <c r="D21" s="32">
        <v>3.1</v>
      </c>
      <c r="E21" s="32">
        <v>0.02</v>
      </c>
      <c r="F21" s="32">
        <v>400</v>
      </c>
      <c r="G21" s="73">
        <f t="shared" si="7"/>
        <v>5.5555555555555554</v>
      </c>
      <c r="H21" s="32">
        <f t="shared" si="8"/>
        <v>784</v>
      </c>
      <c r="I21" s="73">
        <f t="shared" si="9"/>
        <v>1.9997841349135161</v>
      </c>
      <c r="J21" s="73">
        <f t="shared" si="10"/>
        <v>14.902402932025993</v>
      </c>
      <c r="K21" s="73">
        <f t="shared" si="11"/>
        <v>10.729730111058716</v>
      </c>
      <c r="L21" s="200">
        <f t="shared" si="12"/>
        <v>1130.5555555555557</v>
      </c>
      <c r="M21" s="32">
        <f t="shared" si="13"/>
        <v>100</v>
      </c>
      <c r="N21" s="200">
        <f t="shared" si="14"/>
        <v>133.33333333333334</v>
      </c>
      <c r="O21" s="73">
        <f t="shared" si="15"/>
        <v>3.0593935143548263</v>
      </c>
      <c r="P21" s="32">
        <f t="shared" si="16"/>
        <v>2.7027027027027029E-2</v>
      </c>
      <c r="Q21" s="201">
        <f t="shared" si="17"/>
        <v>0.64052287581699352</v>
      </c>
      <c r="R21" s="201">
        <f t="shared" si="0"/>
        <v>0.80859375</v>
      </c>
      <c r="S21" s="201">
        <f t="shared" si="1"/>
        <v>0.33333333333333331</v>
      </c>
      <c r="T21" s="201">
        <f t="shared" si="2"/>
        <v>5.8862749067760026E-2</v>
      </c>
      <c r="U21" s="32">
        <f t="shared" si="3"/>
        <v>165</v>
      </c>
      <c r="V21" s="32">
        <f t="shared" si="4"/>
        <v>1582.7777777777778</v>
      </c>
      <c r="W21" s="73">
        <f t="shared" si="5"/>
        <v>186.66666666666666</v>
      </c>
      <c r="X21" s="32">
        <f t="shared" si="18"/>
        <v>1934.4444444444446</v>
      </c>
      <c r="Y21" s="32">
        <f t="shared" si="19"/>
        <v>4.3717390799096555E-2</v>
      </c>
      <c r="Z21" s="32">
        <f t="shared" si="20"/>
        <v>1308.568863756919</v>
      </c>
      <c r="AA21" s="200">
        <f t="shared" si="6"/>
        <v>265207.95674169797</v>
      </c>
      <c r="AB21" s="200">
        <f t="shared" si="21"/>
        <v>1447144.5144523759</v>
      </c>
      <c r="AC21" s="32">
        <f t="shared" si="22"/>
        <v>2.72935380315509E-2</v>
      </c>
      <c r="AE21" s="32">
        <f t="shared" si="23"/>
        <v>9.0978460105169655E-3</v>
      </c>
      <c r="AF21" s="203">
        <f t="shared" si="24"/>
        <v>-4.0667057046726088E-2</v>
      </c>
      <c r="AW21" s="188"/>
    </row>
    <row r="22" spans="1:53">
      <c r="A22" s="32">
        <v>20</v>
      </c>
      <c r="B22" s="32">
        <v>16.899999999999999</v>
      </c>
      <c r="C22" s="32">
        <v>76</v>
      </c>
      <c r="D22" s="32">
        <v>2.7</v>
      </c>
      <c r="E22" s="32">
        <v>0</v>
      </c>
      <c r="F22" s="32">
        <v>400</v>
      </c>
      <c r="G22" s="73">
        <f t="shared" si="7"/>
        <v>0</v>
      </c>
      <c r="H22" s="32">
        <f t="shared" si="8"/>
        <v>784</v>
      </c>
      <c r="I22" s="73">
        <f t="shared" si="9"/>
        <v>1.9252925509001768</v>
      </c>
      <c r="J22" s="73">
        <f t="shared" si="10"/>
        <v>14.376969127938299</v>
      </c>
      <c r="K22" s="73">
        <f t="shared" si="11"/>
        <v>10.926496537233106</v>
      </c>
      <c r="L22" s="32">
        <f t="shared" si="12"/>
        <v>1200</v>
      </c>
      <c r="M22" s="32">
        <f t="shared" si="13"/>
        <v>100</v>
      </c>
      <c r="N22" s="200">
        <f t="shared" si="14"/>
        <v>133.33333333333334</v>
      </c>
      <c r="O22" s="73">
        <f t="shared" si="15"/>
        <v>2.4073064586315298</v>
      </c>
      <c r="P22" s="32">
        <f t="shared" si="16"/>
        <v>0</v>
      </c>
      <c r="Q22" s="201">
        <f t="shared" si="17"/>
        <v>0.64052287581699352</v>
      </c>
      <c r="R22" s="201">
        <f t="shared" si="0"/>
        <v>0.78181758999999995</v>
      </c>
      <c r="S22" s="201">
        <f t="shared" si="1"/>
        <v>0.33333333333333331</v>
      </c>
      <c r="T22" s="201">
        <f t="shared" si="2"/>
        <v>5.6464923145548844E-2</v>
      </c>
      <c r="U22" s="32">
        <f t="shared" si="3"/>
        <v>165</v>
      </c>
      <c r="V22" s="32">
        <f t="shared" si="4"/>
        <v>1680</v>
      </c>
      <c r="W22" s="73">
        <f t="shared" si="5"/>
        <v>186.66666666666666</v>
      </c>
      <c r="X22" s="32">
        <f t="shared" si="18"/>
        <v>2031.6666666666667</v>
      </c>
      <c r="Y22" s="32">
        <f t="shared" si="19"/>
        <v>0</v>
      </c>
      <c r="Z22" s="32">
        <f t="shared" si="20"/>
        <v>1224</v>
      </c>
      <c r="AA22" s="200">
        <f t="shared" si="6"/>
        <v>0</v>
      </c>
      <c r="AB22" s="200">
        <f t="shared" si="21"/>
        <v>1498176</v>
      </c>
      <c r="AC22" s="32">
        <f t="shared" si="22"/>
        <v>0</v>
      </c>
      <c r="AE22" s="32">
        <f t="shared" si="23"/>
        <v>0</v>
      </c>
      <c r="AF22" s="202">
        <f t="shared" si="24"/>
        <v>-5.6464923145548844E-2</v>
      </c>
      <c r="AW22" s="188"/>
    </row>
    <row r="23" spans="1:53">
      <c r="A23" s="32">
        <v>21</v>
      </c>
      <c r="B23" s="32">
        <v>16</v>
      </c>
      <c r="C23" s="32">
        <v>77</v>
      </c>
      <c r="D23" s="32">
        <v>2.1</v>
      </c>
      <c r="E23" s="32">
        <v>0</v>
      </c>
      <c r="F23" s="32">
        <v>400</v>
      </c>
      <c r="G23" s="73">
        <f t="shared" si="7"/>
        <v>0</v>
      </c>
      <c r="H23" s="32">
        <f t="shared" si="8"/>
        <v>784</v>
      </c>
      <c r="I23" s="73">
        <f t="shared" si="9"/>
        <v>1.8181122957281406</v>
      </c>
      <c r="J23" s="73">
        <f t="shared" si="10"/>
        <v>13.61886579245799</v>
      </c>
      <c r="K23" s="73">
        <f t="shared" si="11"/>
        <v>10.486526660192654</v>
      </c>
      <c r="L23" s="32">
        <f t="shared" si="12"/>
        <v>1200</v>
      </c>
      <c r="M23" s="32">
        <f t="shared" si="13"/>
        <v>100</v>
      </c>
      <c r="N23" s="200">
        <f t="shared" si="14"/>
        <v>133.33333333333334</v>
      </c>
      <c r="O23" s="73">
        <f t="shared" si="15"/>
        <v>2.1853528829758164</v>
      </c>
      <c r="P23" s="32">
        <f t="shared" si="16"/>
        <v>0</v>
      </c>
      <c r="Q23" s="201">
        <f t="shared" si="17"/>
        <v>0.64052287581699352</v>
      </c>
      <c r="R23" s="201">
        <f t="shared" si="0"/>
        <v>0.7399</v>
      </c>
      <c r="S23" s="201">
        <f t="shared" si="1"/>
        <v>0.33333333333333331</v>
      </c>
      <c r="T23" s="201">
        <f t="shared" si="2"/>
        <v>5.3050079827863944E-2</v>
      </c>
      <c r="U23" s="32">
        <f t="shared" si="3"/>
        <v>165</v>
      </c>
      <c r="V23" s="32">
        <f t="shared" si="4"/>
        <v>1680</v>
      </c>
      <c r="W23" s="73">
        <f t="shared" si="5"/>
        <v>186.66666666666666</v>
      </c>
      <c r="X23" s="32">
        <f t="shared" si="18"/>
        <v>2031.6666666666667</v>
      </c>
      <c r="Y23" s="32">
        <f t="shared" si="19"/>
        <v>0</v>
      </c>
      <c r="Z23" s="32">
        <f t="shared" si="20"/>
        <v>1224</v>
      </c>
      <c r="AA23" s="200">
        <f t="shared" si="6"/>
        <v>0</v>
      </c>
      <c r="AB23" s="200">
        <f t="shared" si="21"/>
        <v>1498176</v>
      </c>
      <c r="AC23" s="32">
        <f t="shared" si="22"/>
        <v>0</v>
      </c>
      <c r="AE23" s="32">
        <f t="shared" si="23"/>
        <v>0</v>
      </c>
      <c r="AF23" s="202">
        <f t="shared" si="24"/>
        <v>-5.3050079827863944E-2</v>
      </c>
    </row>
    <row r="24" spans="1:53">
      <c r="A24" s="32">
        <v>22</v>
      </c>
      <c r="B24" s="32">
        <v>15</v>
      </c>
      <c r="C24" s="32">
        <v>81</v>
      </c>
      <c r="D24" s="32">
        <v>2.6</v>
      </c>
      <c r="E24" s="32">
        <v>0</v>
      </c>
      <c r="F24" s="32">
        <v>400</v>
      </c>
      <c r="G24" s="73">
        <f t="shared" si="7"/>
        <v>0</v>
      </c>
      <c r="H24" s="32">
        <f t="shared" si="8"/>
        <v>784</v>
      </c>
      <c r="I24" s="73">
        <f t="shared" si="9"/>
        <v>1.705189010686335</v>
      </c>
      <c r="J24" s="73">
        <f t="shared" si="10"/>
        <v>12.817321616971826</v>
      </c>
      <c r="K24" s="73">
        <f t="shared" si="11"/>
        <v>10.382030509747178</v>
      </c>
      <c r="L24" s="32">
        <f t="shared" si="12"/>
        <v>1200</v>
      </c>
      <c r="M24" s="32">
        <f t="shared" si="13"/>
        <v>100</v>
      </c>
      <c r="N24" s="200">
        <f t="shared" si="14"/>
        <v>133.33333333333334</v>
      </c>
      <c r="O24" s="73">
        <f t="shared" si="15"/>
        <v>1.6990403073660336</v>
      </c>
      <c r="P24" s="32">
        <f t="shared" si="16"/>
        <v>0</v>
      </c>
      <c r="Q24" s="201">
        <f t="shared" si="17"/>
        <v>0.64052287581699352</v>
      </c>
      <c r="R24" s="201">
        <f t="shared" si="0"/>
        <v>0.69135802469135799</v>
      </c>
      <c r="S24" s="201">
        <f t="shared" si="1"/>
        <v>0.33333333333333331</v>
      </c>
      <c r="T24" s="201">
        <f t="shared" si="2"/>
        <v>4.9497474683058325E-2</v>
      </c>
      <c r="U24" s="32">
        <f t="shared" si="3"/>
        <v>165</v>
      </c>
      <c r="V24" s="32">
        <f t="shared" si="4"/>
        <v>1680</v>
      </c>
      <c r="W24" s="73">
        <f t="shared" si="5"/>
        <v>186.66666666666666</v>
      </c>
      <c r="X24" s="32">
        <f t="shared" si="18"/>
        <v>2031.6666666666667</v>
      </c>
      <c r="Y24" s="32">
        <f t="shared" si="19"/>
        <v>0</v>
      </c>
      <c r="Z24" s="32">
        <f t="shared" si="20"/>
        <v>1224</v>
      </c>
      <c r="AA24" s="200">
        <f t="shared" si="6"/>
        <v>0</v>
      </c>
      <c r="AB24" s="200">
        <f t="shared" si="21"/>
        <v>1498176</v>
      </c>
      <c r="AC24" s="32">
        <f t="shared" si="22"/>
        <v>0</v>
      </c>
      <c r="AE24" s="32">
        <f t="shared" si="23"/>
        <v>0</v>
      </c>
      <c r="AF24" s="202">
        <f t="shared" si="24"/>
        <v>-4.9497474683058325E-2</v>
      </c>
    </row>
    <row r="25" spans="1:53">
      <c r="A25" s="32">
        <v>23</v>
      </c>
      <c r="B25" s="32">
        <v>14.9</v>
      </c>
      <c r="C25" s="32">
        <v>82</v>
      </c>
      <c r="D25" s="32">
        <v>2.2000000000000002</v>
      </c>
      <c r="E25" s="32">
        <v>0</v>
      </c>
      <c r="F25" s="32">
        <v>400</v>
      </c>
      <c r="G25" s="73">
        <f t="shared" si="7"/>
        <v>0</v>
      </c>
      <c r="H25" s="32">
        <f t="shared" si="8"/>
        <v>784</v>
      </c>
      <c r="I25" s="73">
        <f t="shared" si="9"/>
        <v>1.6942424575753088</v>
      </c>
      <c r="J25" s="73">
        <f t="shared" si="10"/>
        <v>12.739461095286117</v>
      </c>
      <c r="K25" s="73">
        <f t="shared" si="11"/>
        <v>10.446358098134615</v>
      </c>
      <c r="L25" s="32">
        <f t="shared" si="12"/>
        <v>1200</v>
      </c>
      <c r="M25" s="32">
        <f t="shared" si="13"/>
        <v>100</v>
      </c>
      <c r="N25" s="200">
        <f t="shared" si="14"/>
        <v>133.33333333333334</v>
      </c>
      <c r="O25" s="73">
        <f t="shared" si="15"/>
        <v>1.5998393003382574</v>
      </c>
      <c r="P25" s="32">
        <f t="shared" si="16"/>
        <v>0</v>
      </c>
      <c r="Q25" s="201">
        <f t="shared" si="17"/>
        <v>0.64052287581699352</v>
      </c>
      <c r="R25" s="201">
        <f t="shared" si="0"/>
        <v>0.68641244432098758</v>
      </c>
      <c r="S25" s="201">
        <f t="shared" si="1"/>
        <v>0.33333333333333331</v>
      </c>
      <c r="T25" s="201">
        <f t="shared" si="2"/>
        <v>4.9155570650829906E-2</v>
      </c>
      <c r="U25" s="32">
        <f t="shared" si="3"/>
        <v>165</v>
      </c>
      <c r="V25" s="32">
        <f t="shared" si="4"/>
        <v>1680</v>
      </c>
      <c r="W25" s="73">
        <f t="shared" si="5"/>
        <v>186.66666666666666</v>
      </c>
      <c r="X25" s="32">
        <f t="shared" si="18"/>
        <v>2031.6666666666667</v>
      </c>
      <c r="Y25" s="32">
        <f t="shared" si="19"/>
        <v>0</v>
      </c>
      <c r="Z25" s="32">
        <f t="shared" si="20"/>
        <v>1224</v>
      </c>
      <c r="AA25" s="200">
        <f t="shared" si="6"/>
        <v>0</v>
      </c>
      <c r="AB25" s="200">
        <f t="shared" si="21"/>
        <v>1498176</v>
      </c>
      <c r="AC25" s="32">
        <f t="shared" si="22"/>
        <v>0</v>
      </c>
      <c r="AE25" s="32">
        <f t="shared" si="23"/>
        <v>0</v>
      </c>
      <c r="AF25" s="202">
        <f t="shared" si="24"/>
        <v>-4.9155570650829906E-2</v>
      </c>
    </row>
    <row r="26" spans="1:53">
      <c r="A26" s="32">
        <v>24</v>
      </c>
      <c r="B26" s="32">
        <v>14.8</v>
      </c>
      <c r="C26" s="32">
        <v>83</v>
      </c>
      <c r="D26" s="32">
        <v>2.5</v>
      </c>
      <c r="E26" s="32">
        <v>0</v>
      </c>
      <c r="F26" s="32">
        <v>400</v>
      </c>
      <c r="G26" s="73">
        <f t="shared" si="7"/>
        <v>0</v>
      </c>
      <c r="H26" s="32">
        <f t="shared" si="8"/>
        <v>784</v>
      </c>
      <c r="I26" s="73">
        <f t="shared" si="9"/>
        <v>1.683357575686244</v>
      </c>
      <c r="J26" s="73">
        <f t="shared" si="10"/>
        <v>12.662010379693028</v>
      </c>
      <c r="K26" s="73">
        <f t="shared" si="11"/>
        <v>10.509468615145213</v>
      </c>
      <c r="L26" s="32">
        <f t="shared" si="12"/>
        <v>1200</v>
      </c>
      <c r="M26" s="32">
        <f t="shared" si="13"/>
        <v>100</v>
      </c>
      <c r="N26" s="200">
        <f t="shared" si="14"/>
        <v>133.33333333333334</v>
      </c>
      <c r="O26" s="73">
        <f t="shared" si="15"/>
        <v>1.5017733241031266</v>
      </c>
      <c r="P26" s="32">
        <f t="shared" si="16"/>
        <v>0</v>
      </c>
      <c r="Q26" s="201">
        <f t="shared" si="17"/>
        <v>0.64052287581699352</v>
      </c>
      <c r="R26" s="201">
        <f t="shared" si="0"/>
        <v>0.68145264000000005</v>
      </c>
      <c r="S26" s="201">
        <f t="shared" si="1"/>
        <v>0.33333333333333331</v>
      </c>
      <c r="T26" s="201">
        <f t="shared" si="2"/>
        <v>4.8816028322264199E-2</v>
      </c>
      <c r="U26" s="32">
        <f t="shared" si="3"/>
        <v>165</v>
      </c>
      <c r="V26" s="32">
        <f t="shared" si="4"/>
        <v>1680</v>
      </c>
      <c r="W26" s="73">
        <f t="shared" si="5"/>
        <v>186.66666666666666</v>
      </c>
      <c r="X26" s="32">
        <f t="shared" si="18"/>
        <v>2031.6666666666667</v>
      </c>
      <c r="Y26" s="32">
        <f t="shared" si="19"/>
        <v>0</v>
      </c>
      <c r="Z26" s="32">
        <f t="shared" si="20"/>
        <v>1224</v>
      </c>
      <c r="AA26" s="200">
        <f t="shared" si="6"/>
        <v>0</v>
      </c>
      <c r="AB26" s="200">
        <f t="shared" si="21"/>
        <v>1498176</v>
      </c>
      <c r="AC26" s="32">
        <f t="shared" si="22"/>
        <v>0</v>
      </c>
      <c r="AE26" s="32">
        <f t="shared" si="23"/>
        <v>0</v>
      </c>
      <c r="AF26" s="202">
        <f t="shared" si="24"/>
        <v>-4.8816028322264199E-2</v>
      </c>
    </row>
    <row r="29" spans="1:53">
      <c r="AZ29" s="196" t="s">
        <v>166</v>
      </c>
      <c r="BA29" s="52"/>
    </row>
    <row r="30" spans="1:53">
      <c r="AZ30" s="186">
        <v>400</v>
      </c>
      <c r="BA30" s="181">
        <f t="shared" ref="BA30:BA38" si="25">(1200-AZ30)/1200/2</f>
        <v>0.33333333333333331</v>
      </c>
    </row>
    <row r="31" spans="1:53">
      <c r="AZ31" s="186">
        <v>500</v>
      </c>
      <c r="BA31" s="181">
        <f t="shared" si="25"/>
        <v>0.29166666666666669</v>
      </c>
    </row>
    <row r="32" spans="1:53">
      <c r="AZ32" s="186">
        <v>600</v>
      </c>
      <c r="BA32" s="181">
        <f t="shared" si="25"/>
        <v>0.25</v>
      </c>
    </row>
    <row r="33" spans="52:53">
      <c r="AZ33" s="186">
        <v>700</v>
      </c>
      <c r="BA33" s="181">
        <f t="shared" si="25"/>
        <v>0.20833333333333334</v>
      </c>
    </row>
    <row r="34" spans="52:53">
      <c r="AZ34" s="186">
        <v>800</v>
      </c>
      <c r="BA34" s="181">
        <f t="shared" si="25"/>
        <v>0.16666666666666666</v>
      </c>
    </row>
    <row r="35" spans="52:53">
      <c r="AZ35" s="186">
        <v>900</v>
      </c>
      <c r="BA35" s="181">
        <f t="shared" si="25"/>
        <v>0.125</v>
      </c>
    </row>
    <row r="36" spans="52:53">
      <c r="AZ36" s="186">
        <v>1000</v>
      </c>
      <c r="BA36" s="181">
        <f t="shared" si="25"/>
        <v>8.3333333333333329E-2</v>
      </c>
    </row>
    <row r="37" spans="52:53">
      <c r="AZ37" s="186">
        <v>1100</v>
      </c>
      <c r="BA37" s="181">
        <f t="shared" si="25"/>
        <v>4.1666666666666664E-2</v>
      </c>
    </row>
    <row r="38" spans="52:53" ht="16.5" thickBot="1">
      <c r="AZ38" s="58">
        <v>1200</v>
      </c>
      <c r="BA38" s="125">
        <f t="shared" si="25"/>
        <v>0</v>
      </c>
    </row>
    <row r="50" spans="49:49">
      <c r="AW50" s="122"/>
    </row>
  </sheetData>
  <phoneticPr fontId="27" type="noConversion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9E596-F6C5-43D6-91AB-1155929299ED}">
  <dimension ref="F3:AZ50"/>
  <sheetViews>
    <sheetView zoomScale="85" zoomScaleNormal="85" workbookViewId="0">
      <selection activeCell="L25" sqref="L25"/>
    </sheetView>
  </sheetViews>
  <sheetFormatPr defaultColWidth="8.88671875" defaultRowHeight="15.75"/>
  <cols>
    <col min="1" max="5" width="8.88671875" style="32"/>
    <col min="6" max="6" width="8.88671875" style="32" customWidth="1"/>
    <col min="7" max="15" width="8.88671875" style="32"/>
    <col min="16" max="16" width="8.77734375" style="32" customWidth="1"/>
    <col min="17" max="17" width="8.88671875" style="32"/>
    <col min="18" max="18" width="13.109375" style="32" bestFit="1" customWidth="1"/>
    <col min="19" max="19" width="12" style="32" bestFit="1" customWidth="1"/>
    <col min="20" max="20" width="5.6640625" style="32" customWidth="1"/>
    <col min="21" max="21" width="7.21875" style="32" customWidth="1"/>
    <col min="22" max="25" width="8.88671875" style="32"/>
    <col min="26" max="26" width="10.5546875" style="32" customWidth="1"/>
    <col min="27" max="27" width="9.33203125" style="32" customWidth="1"/>
    <col min="28" max="28" width="20.33203125" style="32" bestFit="1" customWidth="1"/>
    <col min="29" max="29" width="2.5546875" style="32" customWidth="1"/>
    <col min="30" max="30" width="8.88671875" style="32"/>
    <col min="31" max="31" width="10.77734375" style="32" customWidth="1"/>
    <col min="32" max="37" width="8.88671875" style="32"/>
    <col min="38" max="38" width="10.88671875" style="32" customWidth="1"/>
    <col min="39" max="39" width="9.88671875" style="32" bestFit="1" customWidth="1"/>
    <col min="40" max="40" width="4.21875" style="32" customWidth="1"/>
    <col min="41" max="41" width="9.88671875" style="32" customWidth="1"/>
    <col min="42" max="42" width="9.21875" style="32" customWidth="1"/>
    <col min="43" max="43" width="10.88671875" style="32" customWidth="1"/>
    <col min="44" max="44" width="11.77734375" style="32" customWidth="1"/>
    <col min="45" max="45" width="10.21875" style="32" customWidth="1"/>
    <col min="46" max="46" width="10" style="32" customWidth="1"/>
    <col min="47" max="47" width="8.88671875" style="32"/>
    <col min="48" max="48" width="8.109375" style="32" bestFit="1" customWidth="1"/>
    <col min="49" max="49" width="10.88671875" style="32" bestFit="1" customWidth="1"/>
    <col min="50" max="16384" width="8.88671875" style="32"/>
  </cols>
  <sheetData>
    <row r="3" spans="6:31">
      <c r="F3" s="73"/>
      <c r="H3" s="73"/>
      <c r="I3" s="73"/>
      <c r="J3" s="73"/>
      <c r="M3" s="200"/>
      <c r="N3" s="73"/>
      <c r="P3" s="201"/>
      <c r="Q3" s="201"/>
      <c r="R3" s="201"/>
      <c r="S3" s="201"/>
      <c r="V3" s="73"/>
      <c r="Z3" s="200"/>
      <c r="AA3" s="200"/>
      <c r="AE3" s="202"/>
    </row>
    <row r="4" spans="6:31">
      <c r="F4" s="73"/>
      <c r="H4" s="73"/>
      <c r="I4" s="73"/>
      <c r="J4" s="73"/>
      <c r="M4" s="200"/>
      <c r="N4" s="73"/>
      <c r="P4" s="201"/>
      <c r="Q4" s="201"/>
      <c r="R4" s="201"/>
      <c r="S4" s="201"/>
      <c r="V4" s="73"/>
      <c r="Z4" s="200"/>
      <c r="AA4" s="200"/>
      <c r="AE4" s="202"/>
    </row>
    <row r="5" spans="6:31">
      <c r="F5" s="73"/>
      <c r="H5" s="73"/>
      <c r="I5" s="73"/>
      <c r="J5" s="73"/>
      <c r="M5" s="200"/>
      <c r="N5" s="73"/>
      <c r="P5" s="201"/>
      <c r="Q5" s="201"/>
      <c r="R5" s="201"/>
      <c r="S5" s="201"/>
      <c r="V5" s="73"/>
      <c r="Z5" s="200"/>
      <c r="AA5" s="200"/>
      <c r="AE5" s="202"/>
    </row>
    <row r="6" spans="6:31">
      <c r="F6" s="73"/>
      <c r="H6" s="73"/>
      <c r="I6" s="73"/>
      <c r="J6" s="73"/>
      <c r="M6" s="200"/>
      <c r="N6" s="73"/>
      <c r="P6" s="201"/>
      <c r="Q6" s="201"/>
      <c r="R6" s="201"/>
      <c r="S6" s="201"/>
      <c r="V6" s="73"/>
      <c r="Z6" s="200"/>
      <c r="AA6" s="200"/>
      <c r="AE6" s="202"/>
    </row>
    <row r="7" spans="6:31">
      <c r="F7" s="73"/>
      <c r="H7" s="73"/>
      <c r="I7" s="73"/>
      <c r="J7" s="73"/>
      <c r="K7" s="200"/>
      <c r="M7" s="200"/>
      <c r="N7" s="73"/>
      <c r="P7" s="201"/>
      <c r="Q7" s="201"/>
      <c r="R7" s="201"/>
      <c r="S7" s="201"/>
      <c r="U7" s="200"/>
      <c r="V7" s="73"/>
      <c r="Z7" s="200"/>
      <c r="AA7" s="200"/>
      <c r="AE7" s="203"/>
    </row>
    <row r="8" spans="6:31">
      <c r="F8" s="73"/>
      <c r="H8" s="73"/>
      <c r="I8" s="73"/>
      <c r="J8" s="73"/>
      <c r="K8" s="200"/>
      <c r="M8" s="200"/>
      <c r="N8" s="73"/>
      <c r="P8" s="201"/>
      <c r="Q8" s="201"/>
      <c r="R8" s="201"/>
      <c r="S8" s="201"/>
      <c r="U8" s="200"/>
      <c r="V8" s="73"/>
      <c r="Z8" s="200"/>
      <c r="AA8" s="200"/>
      <c r="AE8" s="203"/>
    </row>
    <row r="9" spans="6:31">
      <c r="F9" s="73"/>
      <c r="H9" s="73"/>
      <c r="I9" s="73"/>
      <c r="J9" s="73"/>
      <c r="M9" s="200"/>
      <c r="N9" s="73"/>
      <c r="P9" s="201"/>
      <c r="Q9" s="201"/>
      <c r="R9" s="201"/>
      <c r="S9" s="201"/>
      <c r="V9" s="73"/>
      <c r="Z9" s="200"/>
      <c r="AA9" s="200"/>
      <c r="AE9" s="203"/>
    </row>
    <row r="10" spans="6:31">
      <c r="F10" s="73"/>
      <c r="H10" s="73"/>
      <c r="I10" s="73"/>
      <c r="J10" s="73"/>
      <c r="M10" s="200"/>
      <c r="N10" s="73"/>
      <c r="P10" s="201"/>
      <c r="Q10" s="201"/>
      <c r="R10" s="201"/>
      <c r="S10" s="201"/>
      <c r="V10" s="73"/>
      <c r="Z10" s="200"/>
      <c r="AA10" s="200"/>
      <c r="AE10" s="203"/>
    </row>
    <row r="11" spans="6:31">
      <c r="F11" s="73"/>
      <c r="H11" s="73"/>
      <c r="I11" s="73"/>
      <c r="J11" s="73"/>
      <c r="M11" s="200"/>
      <c r="N11" s="73"/>
      <c r="P11" s="201"/>
      <c r="Q11" s="201"/>
      <c r="R11" s="201"/>
      <c r="S11" s="201"/>
      <c r="V11" s="73"/>
      <c r="Z11" s="200"/>
      <c r="AA11" s="200"/>
      <c r="AE11" s="203"/>
    </row>
    <row r="12" spans="6:31">
      <c r="F12" s="73"/>
      <c r="H12" s="73"/>
      <c r="I12" s="73"/>
      <c r="J12" s="73"/>
      <c r="M12" s="200"/>
      <c r="N12" s="73"/>
      <c r="P12" s="201"/>
      <c r="Q12" s="201"/>
      <c r="R12" s="201"/>
      <c r="S12" s="201"/>
      <c r="V12" s="73"/>
      <c r="Z12" s="200"/>
      <c r="AA12" s="200"/>
      <c r="AE12" s="203"/>
    </row>
    <row r="13" spans="6:31">
      <c r="F13" s="73"/>
      <c r="H13" s="73"/>
      <c r="I13" s="73"/>
      <c r="J13" s="73"/>
      <c r="M13" s="200"/>
      <c r="N13" s="73"/>
      <c r="P13" s="201"/>
      <c r="Q13" s="201"/>
      <c r="R13" s="201"/>
      <c r="S13" s="201"/>
      <c r="V13" s="73"/>
      <c r="Z13" s="200"/>
      <c r="AA13" s="200"/>
      <c r="AE13" s="203"/>
    </row>
    <row r="14" spans="6:31">
      <c r="F14" s="73"/>
      <c r="H14" s="73"/>
      <c r="I14" s="73"/>
      <c r="J14" s="73"/>
      <c r="M14" s="200"/>
      <c r="N14" s="73"/>
      <c r="P14" s="201"/>
      <c r="Q14" s="201"/>
      <c r="R14" s="201"/>
      <c r="S14" s="201"/>
      <c r="V14" s="73"/>
      <c r="Z14" s="200"/>
      <c r="AA14" s="200"/>
      <c r="AE14" s="203"/>
    </row>
    <row r="15" spans="6:31">
      <c r="F15" s="73"/>
      <c r="H15" s="73"/>
      <c r="I15" s="73"/>
      <c r="J15" s="73"/>
      <c r="M15" s="200"/>
      <c r="N15" s="73"/>
      <c r="P15" s="201"/>
      <c r="Q15" s="201"/>
      <c r="R15" s="201"/>
      <c r="S15" s="201"/>
      <c r="V15" s="73"/>
      <c r="Z15" s="200"/>
      <c r="AA15" s="200"/>
      <c r="AE15" s="203"/>
    </row>
    <row r="16" spans="6:31">
      <c r="F16" s="73"/>
      <c r="H16" s="73"/>
      <c r="I16" s="73"/>
      <c r="J16" s="73"/>
      <c r="M16" s="200"/>
      <c r="N16" s="73"/>
      <c r="P16" s="201"/>
      <c r="Q16" s="201"/>
      <c r="R16" s="201"/>
      <c r="S16" s="201"/>
      <c r="V16" s="73"/>
      <c r="Z16" s="200"/>
      <c r="AA16" s="200"/>
      <c r="AE16" s="203"/>
    </row>
    <row r="17" spans="6:52">
      <c r="F17" s="73"/>
      <c r="H17" s="73"/>
      <c r="I17" s="73"/>
      <c r="J17" s="73"/>
      <c r="M17" s="200"/>
      <c r="N17" s="73"/>
      <c r="P17" s="201"/>
      <c r="Q17" s="201"/>
      <c r="R17" s="201"/>
      <c r="S17" s="201"/>
      <c r="V17" s="73"/>
      <c r="Z17" s="200"/>
      <c r="AA17" s="200"/>
      <c r="AE17" s="203"/>
    </row>
    <row r="18" spans="6:52">
      <c r="F18" s="73"/>
      <c r="H18" s="73"/>
      <c r="I18" s="73"/>
      <c r="J18" s="73"/>
      <c r="M18" s="200"/>
      <c r="N18" s="73"/>
      <c r="P18" s="201"/>
      <c r="Q18" s="201"/>
      <c r="R18" s="201"/>
      <c r="S18" s="201"/>
      <c r="V18" s="73"/>
      <c r="Z18" s="200"/>
      <c r="AA18" s="200"/>
      <c r="AE18" s="203"/>
    </row>
    <row r="19" spans="6:52">
      <c r="F19" s="73"/>
      <c r="H19" s="73"/>
      <c r="I19" s="73"/>
      <c r="J19" s="73"/>
      <c r="M19" s="200"/>
      <c r="N19" s="73"/>
      <c r="P19" s="201"/>
      <c r="Q19" s="201"/>
      <c r="R19" s="201"/>
      <c r="S19" s="201"/>
      <c r="V19" s="73"/>
      <c r="Z19" s="200"/>
      <c r="AA19" s="200"/>
      <c r="AE19" s="203"/>
    </row>
    <row r="20" spans="6:52">
      <c r="F20" s="73"/>
      <c r="H20" s="73"/>
      <c r="I20" s="73"/>
      <c r="J20" s="73"/>
      <c r="M20" s="200"/>
      <c r="N20" s="73"/>
      <c r="P20" s="201"/>
      <c r="Q20" s="201"/>
      <c r="R20" s="201"/>
      <c r="S20" s="201"/>
      <c r="V20" s="73"/>
      <c r="Z20" s="200"/>
      <c r="AA20" s="200"/>
      <c r="AE20" s="203"/>
      <c r="AW20" s="73"/>
    </row>
    <row r="21" spans="6:52">
      <c r="F21" s="73"/>
      <c r="H21" s="73"/>
      <c r="I21" s="73"/>
      <c r="J21" s="73"/>
      <c r="K21" s="200"/>
      <c r="M21" s="200"/>
      <c r="N21" s="73"/>
      <c r="P21" s="201"/>
      <c r="Q21" s="201"/>
      <c r="R21" s="201"/>
      <c r="S21" s="201"/>
      <c r="V21" s="73"/>
      <c r="Z21" s="200"/>
      <c r="AA21" s="200"/>
      <c r="AE21" s="203"/>
      <c r="AV21" s="188"/>
    </row>
    <row r="22" spans="6:52">
      <c r="F22" s="73"/>
      <c r="H22" s="73"/>
      <c r="I22" s="73"/>
      <c r="J22" s="73"/>
      <c r="M22" s="200"/>
      <c r="N22" s="73"/>
      <c r="P22" s="201"/>
      <c r="Q22" s="201"/>
      <c r="R22" s="201"/>
      <c r="S22" s="201"/>
      <c r="V22" s="73"/>
      <c r="Z22" s="200"/>
      <c r="AA22" s="200"/>
      <c r="AE22" s="202"/>
      <c r="AV22" s="188"/>
    </row>
    <row r="23" spans="6:52">
      <c r="F23" s="73"/>
      <c r="H23" s="73"/>
      <c r="I23" s="73"/>
      <c r="J23" s="73"/>
      <c r="M23" s="200"/>
      <c r="N23" s="73"/>
      <c r="P23" s="201"/>
      <c r="Q23" s="201"/>
      <c r="R23" s="201"/>
      <c r="S23" s="201"/>
      <c r="V23" s="73"/>
      <c r="Z23" s="200"/>
      <c r="AA23" s="200"/>
      <c r="AE23" s="202"/>
    </row>
    <row r="24" spans="6:52">
      <c r="F24" s="73"/>
      <c r="H24" s="73"/>
      <c r="I24" s="73"/>
      <c r="J24" s="73"/>
      <c r="M24" s="200"/>
      <c r="N24" s="73"/>
      <c r="P24" s="201"/>
      <c r="Q24" s="201"/>
      <c r="R24" s="201"/>
      <c r="S24" s="201"/>
      <c r="V24" s="73"/>
      <c r="Z24" s="200"/>
      <c r="AA24" s="200"/>
      <c r="AE24" s="202"/>
    </row>
    <row r="25" spans="6:52">
      <c r="F25" s="73"/>
      <c r="H25" s="73"/>
      <c r="I25" s="73"/>
      <c r="J25" s="73"/>
      <c r="M25" s="200"/>
      <c r="N25" s="73"/>
      <c r="P25" s="201"/>
      <c r="Q25" s="201"/>
      <c r="R25" s="201"/>
      <c r="S25" s="201"/>
      <c r="V25" s="73"/>
      <c r="Z25" s="200"/>
      <c r="AA25" s="200"/>
      <c r="AE25" s="202"/>
    </row>
    <row r="26" spans="6:52">
      <c r="F26" s="73"/>
      <c r="H26" s="73"/>
      <c r="I26" s="73"/>
      <c r="J26" s="73"/>
      <c r="M26" s="200"/>
      <c r="N26" s="73"/>
      <c r="P26" s="201"/>
      <c r="Q26" s="201"/>
      <c r="R26" s="201"/>
      <c r="S26" s="201"/>
      <c r="V26" s="73"/>
      <c r="Z26" s="200"/>
      <c r="AA26" s="200"/>
      <c r="AE26" s="202"/>
    </row>
    <row r="29" spans="6:52">
      <c r="AY29" s="196" t="s">
        <v>166</v>
      </c>
      <c r="AZ29" s="52"/>
    </row>
    <row r="30" spans="6:52">
      <c r="AY30" s="186">
        <v>400</v>
      </c>
      <c r="AZ30" s="181">
        <f t="shared" ref="AZ30:AZ38" si="0">(1200-AY30)/1200/2</f>
        <v>0.33333333333333331</v>
      </c>
    </row>
    <row r="31" spans="6:52">
      <c r="AY31" s="186">
        <v>500</v>
      </c>
      <c r="AZ31" s="181">
        <f t="shared" si="0"/>
        <v>0.29166666666666669</v>
      </c>
    </row>
    <row r="32" spans="6:52">
      <c r="AY32" s="186">
        <v>600</v>
      </c>
      <c r="AZ32" s="181">
        <f t="shared" si="0"/>
        <v>0.25</v>
      </c>
    </row>
    <row r="33" spans="51:52">
      <c r="AY33" s="186">
        <v>700</v>
      </c>
      <c r="AZ33" s="181">
        <f t="shared" si="0"/>
        <v>0.20833333333333334</v>
      </c>
    </row>
    <row r="34" spans="51:52">
      <c r="AY34" s="186">
        <v>800</v>
      </c>
      <c r="AZ34" s="181">
        <f t="shared" si="0"/>
        <v>0.16666666666666666</v>
      </c>
    </row>
    <row r="35" spans="51:52">
      <c r="AY35" s="186">
        <v>900</v>
      </c>
      <c r="AZ35" s="181">
        <f t="shared" si="0"/>
        <v>0.125</v>
      </c>
    </row>
    <row r="36" spans="51:52">
      <c r="AY36" s="186">
        <v>1000</v>
      </c>
      <c r="AZ36" s="181">
        <f t="shared" si="0"/>
        <v>8.3333333333333329E-2</v>
      </c>
    </row>
    <row r="37" spans="51:52">
      <c r="AY37" s="186">
        <v>1100</v>
      </c>
      <c r="AZ37" s="181">
        <f t="shared" si="0"/>
        <v>4.1666666666666664E-2</v>
      </c>
    </row>
    <row r="38" spans="51:52" ht="16.5" thickBot="1">
      <c r="AY38" s="58">
        <v>1200</v>
      </c>
      <c r="AZ38" s="125">
        <f t="shared" si="0"/>
        <v>0</v>
      </c>
    </row>
    <row r="50" spans="48:48">
      <c r="AV50" s="122"/>
    </row>
  </sheetData>
  <phoneticPr fontId="27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CC6CA-E141-4EB7-A046-DE2CBDBDE33F}">
  <dimension ref="B1:J1000"/>
  <sheetViews>
    <sheetView topLeftCell="A4" zoomScaleNormal="100" workbookViewId="0">
      <selection activeCell="A26" sqref="A26"/>
    </sheetView>
  </sheetViews>
  <sheetFormatPr defaultColWidth="11.21875" defaultRowHeight="15.75"/>
  <cols>
    <col min="1" max="1" width="3.6640625" style="227" customWidth="1"/>
    <col min="2" max="2" width="13.21875" style="227" bestFit="1" customWidth="1"/>
    <col min="3" max="3" width="9.109375" style="227" bestFit="1" customWidth="1"/>
    <col min="4" max="4" width="23.21875" style="227" bestFit="1" customWidth="1"/>
    <col min="5" max="5" width="9" style="227" bestFit="1" customWidth="1"/>
    <col min="6" max="6" width="11.44140625" style="227" bestFit="1" customWidth="1"/>
    <col min="7" max="7" width="15" style="227" bestFit="1" customWidth="1"/>
    <col min="8" max="8" width="12.5546875" style="227" bestFit="1" customWidth="1"/>
    <col min="9" max="9" width="10.88671875" style="227" bestFit="1" customWidth="1"/>
    <col min="10" max="10" width="13.33203125" style="227" bestFit="1" customWidth="1"/>
    <col min="11" max="21" width="6.77734375" style="227" customWidth="1"/>
    <col min="22" max="16384" width="11.21875" style="227"/>
  </cols>
  <sheetData>
    <row r="1" spans="2:10" ht="16.5" customHeight="1" thickBot="1">
      <c r="G1"/>
      <c r="H1"/>
      <c r="I1"/>
      <c r="J1"/>
    </row>
    <row r="2" spans="2:10" ht="16.5" customHeight="1">
      <c r="B2" s="372" t="s">
        <v>65</v>
      </c>
      <c r="C2" s="373"/>
      <c r="D2" s="373"/>
      <c r="E2" s="373"/>
      <c r="F2" s="373"/>
      <c r="G2" s="374"/>
      <c r="H2" s="375" t="s">
        <v>66</v>
      </c>
      <c r="I2" s="376"/>
      <c r="J2" s="377"/>
    </row>
    <row r="3" spans="2:10" ht="16.5" customHeight="1">
      <c r="B3" s="365" t="s">
        <v>325</v>
      </c>
      <c r="C3" s="360" t="s">
        <v>323</v>
      </c>
      <c r="D3" s="365" t="s">
        <v>324</v>
      </c>
      <c r="E3" s="360" t="s">
        <v>318</v>
      </c>
      <c r="F3" s="365" t="s">
        <v>319</v>
      </c>
      <c r="G3" s="360" t="s">
        <v>326</v>
      </c>
      <c r="H3" s="369" t="s">
        <v>322</v>
      </c>
      <c r="I3" s="369" t="s">
        <v>321</v>
      </c>
      <c r="J3" s="369" t="s">
        <v>320</v>
      </c>
    </row>
    <row r="4" spans="2:10" ht="16.5" customHeight="1">
      <c r="B4" s="371"/>
      <c r="C4" s="360"/>
      <c r="D4" s="371"/>
      <c r="E4" s="360"/>
      <c r="F4" s="371"/>
      <c r="G4" s="360"/>
      <c r="H4" s="370"/>
      <c r="I4" s="370"/>
      <c r="J4" s="370"/>
    </row>
    <row r="5" spans="2:10" ht="16.5" customHeight="1" thickBot="1">
      <c r="B5" s="247">
        <v>40</v>
      </c>
      <c r="C5" s="241">
        <v>3500</v>
      </c>
      <c r="D5" s="247">
        <v>200</v>
      </c>
      <c r="E5" s="241">
        <v>0.8</v>
      </c>
      <c r="F5" s="247">
        <v>0.8</v>
      </c>
      <c r="G5" s="241">
        <v>200</v>
      </c>
      <c r="H5" s="243">
        <f>(C5*E5*F5*D5)/(C7*G5)</f>
        <v>25.74712643678161</v>
      </c>
      <c r="I5" s="243">
        <f>H5*0.219</f>
        <v>5.6386206896551725</v>
      </c>
      <c r="J5" s="248">
        <f>B5*D5</f>
        <v>8000</v>
      </c>
    </row>
    <row r="6" spans="2:10" ht="16.5" customHeight="1">
      <c r="B6" s="228"/>
      <c r="C6" s="244"/>
      <c r="G6"/>
      <c r="H6"/>
      <c r="I6"/>
      <c r="J6"/>
    </row>
    <row r="7" spans="2:10" ht="16.5" customHeight="1">
      <c r="B7" s="227" t="s">
        <v>327</v>
      </c>
      <c r="C7" s="228">
        <v>87</v>
      </c>
      <c r="G7"/>
      <c r="H7"/>
      <c r="I7"/>
      <c r="J7"/>
    </row>
    <row r="8" spans="2:10">
      <c r="B8" s="228"/>
      <c r="C8" s="236"/>
      <c r="G8"/>
      <c r="H8"/>
      <c r="I8"/>
      <c r="J8"/>
    </row>
    <row r="9" spans="2:10" ht="16.5" customHeight="1">
      <c r="B9" s="228"/>
      <c r="C9" s="228"/>
      <c r="G9"/>
      <c r="H9"/>
      <c r="I9"/>
      <c r="J9"/>
    </row>
    <row r="10" spans="2:10" ht="16.5" customHeight="1">
      <c r="B10" s="228"/>
      <c r="C10" s="228"/>
      <c r="G10"/>
      <c r="H10"/>
      <c r="I10"/>
      <c r="J10"/>
    </row>
    <row r="11" spans="2:10" ht="16.5" customHeight="1">
      <c r="B11" s="228"/>
      <c r="C11" s="228"/>
      <c r="G11"/>
      <c r="H11"/>
      <c r="I11"/>
      <c r="J11"/>
    </row>
    <row r="12" spans="2:10" ht="16.5" customHeight="1">
      <c r="B12" s="228"/>
      <c r="C12" s="228"/>
      <c r="G12"/>
      <c r="H12"/>
      <c r="I12"/>
      <c r="J12"/>
    </row>
    <row r="13" spans="2:10" ht="16.5" customHeight="1">
      <c r="B13" s="228"/>
      <c r="C13" s="228"/>
      <c r="G13"/>
      <c r="H13"/>
      <c r="I13"/>
      <c r="J13"/>
    </row>
    <row r="14" spans="2:10" ht="16.5" customHeight="1">
      <c r="B14" s="228"/>
      <c r="C14" s="228"/>
      <c r="G14"/>
      <c r="H14"/>
      <c r="I14"/>
      <c r="J14"/>
    </row>
    <row r="15" spans="2:10" ht="16.5" customHeight="1">
      <c r="B15" s="228"/>
      <c r="C15" s="228"/>
      <c r="G15" s="230"/>
      <c r="H15" s="230"/>
    </row>
    <row r="16" spans="2:10" ht="16.5" customHeight="1">
      <c r="B16" s="228"/>
      <c r="C16" s="228"/>
      <c r="G16" s="230"/>
      <c r="H16" s="230"/>
    </row>
    <row r="17" spans="2:8" ht="16.5" customHeight="1">
      <c r="B17" s="228"/>
      <c r="C17" s="228"/>
      <c r="G17" s="230"/>
      <c r="H17" s="230"/>
    </row>
    <row r="18" spans="2:8" ht="16.5" customHeight="1">
      <c r="B18" s="228"/>
      <c r="C18" s="228"/>
      <c r="G18" s="230"/>
      <c r="H18" s="230"/>
    </row>
    <row r="19" spans="2:8" ht="16.5" customHeight="1">
      <c r="B19" s="228"/>
      <c r="C19" s="228"/>
      <c r="G19" s="230"/>
    </row>
    <row r="20" spans="2:8" ht="16.5" customHeight="1">
      <c r="B20" s="228"/>
      <c r="C20" s="228"/>
      <c r="G20" s="230"/>
    </row>
    <row r="21" spans="2:8" ht="16.5" customHeight="1">
      <c r="B21" s="228"/>
      <c r="C21" s="228"/>
      <c r="G21" s="230"/>
    </row>
    <row r="22" spans="2:8" ht="16.5" customHeight="1">
      <c r="B22" s="228"/>
      <c r="C22" s="228"/>
      <c r="G22" s="230"/>
    </row>
    <row r="23" spans="2:8" ht="16.5" customHeight="1">
      <c r="B23" s="228"/>
      <c r="C23" s="228"/>
      <c r="G23" s="230"/>
    </row>
    <row r="24" spans="2:8" ht="16.5" customHeight="1">
      <c r="B24" s="228"/>
      <c r="C24" s="228"/>
      <c r="G24" s="230"/>
    </row>
    <row r="25" spans="2:8" ht="16.5" customHeight="1">
      <c r="B25" s="228"/>
      <c r="C25" s="228"/>
      <c r="G25" s="230"/>
    </row>
    <row r="26" spans="2:8" ht="16.5" customHeight="1">
      <c r="B26" s="228"/>
      <c r="C26" s="228"/>
      <c r="G26" s="230"/>
    </row>
    <row r="27" spans="2:8" ht="16.5" customHeight="1">
      <c r="B27" s="228"/>
      <c r="C27" s="228"/>
      <c r="G27" s="230"/>
    </row>
    <row r="28" spans="2:8" ht="16.5" customHeight="1">
      <c r="B28" s="228"/>
      <c r="C28" s="228"/>
      <c r="G28" s="230"/>
    </row>
    <row r="29" spans="2:8" ht="16.5" customHeight="1">
      <c r="B29" s="228"/>
      <c r="C29" s="228"/>
      <c r="G29" s="230"/>
    </row>
    <row r="30" spans="2:8" ht="16.5" customHeight="1">
      <c r="B30" s="228"/>
      <c r="C30" s="228"/>
      <c r="G30" s="230"/>
    </row>
    <row r="31" spans="2:8" ht="16.5" customHeight="1">
      <c r="B31" s="228"/>
      <c r="C31" s="228"/>
      <c r="G31" s="230"/>
    </row>
    <row r="32" spans="2:8" ht="16.5" customHeight="1">
      <c r="B32" s="228"/>
      <c r="C32" s="228"/>
      <c r="G32" s="230"/>
    </row>
    <row r="33" spans="2:3" ht="16.5" customHeight="1">
      <c r="B33" s="228"/>
      <c r="C33" s="228"/>
    </row>
    <row r="34" spans="2:3" ht="16.5" customHeight="1">
      <c r="B34" s="228"/>
      <c r="C34" s="228"/>
    </row>
    <row r="35" spans="2:3" ht="16.5" customHeight="1">
      <c r="B35" s="228"/>
      <c r="C35" s="228"/>
    </row>
    <row r="36" spans="2:3" ht="16.5" customHeight="1">
      <c r="B36" s="228"/>
      <c r="C36" s="228"/>
    </row>
    <row r="37" spans="2:3" ht="16.5" customHeight="1">
      <c r="B37" s="228"/>
      <c r="C37" s="228"/>
    </row>
    <row r="38" spans="2:3" ht="16.5" customHeight="1">
      <c r="B38" s="228"/>
      <c r="C38" s="228"/>
    </row>
    <row r="39" spans="2:3" ht="16.5" customHeight="1">
      <c r="B39" s="228"/>
      <c r="C39" s="228"/>
    </row>
    <row r="40" spans="2:3" ht="16.5" customHeight="1">
      <c r="B40" s="228"/>
      <c r="C40" s="228"/>
    </row>
    <row r="41" spans="2:3" ht="16.5" customHeight="1">
      <c r="B41" s="228"/>
      <c r="C41" s="228"/>
    </row>
    <row r="42" spans="2:3" ht="16.5" customHeight="1">
      <c r="B42" s="228"/>
      <c r="C42" s="228"/>
    </row>
    <row r="43" spans="2:3" ht="16.5" customHeight="1">
      <c r="B43" s="228"/>
      <c r="C43" s="228"/>
    </row>
    <row r="44" spans="2:3" ht="16.5" customHeight="1">
      <c r="B44" s="228"/>
      <c r="C44" s="228"/>
    </row>
    <row r="45" spans="2:3" ht="16.5" customHeight="1">
      <c r="B45" s="228"/>
      <c r="C45" s="228"/>
    </row>
    <row r="46" spans="2:3" ht="16.5" customHeight="1">
      <c r="B46" s="228"/>
      <c r="C46" s="228"/>
    </row>
    <row r="47" spans="2:3" ht="16.5" customHeight="1">
      <c r="B47" s="228"/>
      <c r="C47" s="228"/>
    </row>
    <row r="48" spans="2:3" ht="16.5" customHeight="1">
      <c r="B48" s="228"/>
      <c r="C48" s="228"/>
    </row>
    <row r="49" spans="2:3" ht="16.5" customHeight="1">
      <c r="B49" s="228"/>
      <c r="C49" s="228"/>
    </row>
    <row r="50" spans="2:3" ht="16.5" customHeight="1">
      <c r="B50" s="228"/>
      <c r="C50" s="228"/>
    </row>
    <row r="51" spans="2:3" ht="16.5" customHeight="1">
      <c r="B51" s="228"/>
      <c r="C51" s="228"/>
    </row>
    <row r="52" spans="2:3" ht="16.5" customHeight="1">
      <c r="B52" s="228"/>
      <c r="C52" s="228"/>
    </row>
    <row r="53" spans="2:3" ht="16.5" customHeight="1">
      <c r="B53" s="228"/>
      <c r="C53" s="228"/>
    </row>
    <row r="54" spans="2:3" ht="16.5" customHeight="1">
      <c r="B54" s="228"/>
      <c r="C54" s="228"/>
    </row>
    <row r="55" spans="2:3" ht="16.5" customHeight="1">
      <c r="B55" s="228"/>
      <c r="C55" s="228"/>
    </row>
    <row r="56" spans="2:3" ht="16.5" customHeight="1">
      <c r="B56" s="228"/>
      <c r="C56" s="228"/>
    </row>
    <row r="57" spans="2:3" ht="16.5" customHeight="1">
      <c r="B57" s="228"/>
      <c r="C57" s="228"/>
    </row>
    <row r="58" spans="2:3" ht="16.5" customHeight="1">
      <c r="B58" s="228"/>
      <c r="C58" s="228"/>
    </row>
    <row r="59" spans="2:3" ht="16.5" customHeight="1">
      <c r="B59" s="228"/>
      <c r="C59" s="228"/>
    </row>
    <row r="60" spans="2:3" ht="16.5" customHeight="1">
      <c r="B60" s="228"/>
      <c r="C60" s="228"/>
    </row>
    <row r="61" spans="2:3" ht="16.5" customHeight="1">
      <c r="B61" s="228"/>
      <c r="C61" s="228"/>
    </row>
    <row r="62" spans="2:3" ht="16.5" customHeight="1">
      <c r="B62" s="228"/>
      <c r="C62" s="228"/>
    </row>
    <row r="63" spans="2:3" ht="16.5" customHeight="1">
      <c r="B63" s="228"/>
      <c r="C63" s="228"/>
    </row>
    <row r="64" spans="2:3" ht="16.5" customHeight="1">
      <c r="B64" s="228"/>
      <c r="C64" s="228"/>
    </row>
    <row r="65" spans="2:3" ht="16.5" customHeight="1">
      <c r="B65" s="228"/>
      <c r="C65" s="228"/>
    </row>
    <row r="66" spans="2:3" ht="16.5" customHeight="1">
      <c r="B66" s="228"/>
      <c r="C66" s="228"/>
    </row>
    <row r="67" spans="2:3" ht="16.5" customHeight="1">
      <c r="B67" s="228"/>
      <c r="C67" s="228"/>
    </row>
    <row r="68" spans="2:3" ht="16.5" customHeight="1">
      <c r="B68" s="228"/>
      <c r="C68" s="228"/>
    </row>
    <row r="69" spans="2:3" ht="16.5" customHeight="1">
      <c r="B69" s="228"/>
      <c r="C69" s="228"/>
    </row>
    <row r="70" spans="2:3" ht="16.5" customHeight="1">
      <c r="B70" s="228"/>
      <c r="C70" s="228"/>
    </row>
    <row r="71" spans="2:3" ht="16.5" customHeight="1">
      <c r="B71" s="228"/>
      <c r="C71" s="228"/>
    </row>
    <row r="72" spans="2:3" ht="16.5" customHeight="1">
      <c r="B72" s="228"/>
      <c r="C72" s="228"/>
    </row>
    <row r="73" spans="2:3" ht="16.5" customHeight="1">
      <c r="B73" s="228"/>
      <c r="C73" s="228"/>
    </row>
    <row r="74" spans="2:3" ht="16.5" customHeight="1">
      <c r="B74" s="228"/>
      <c r="C74" s="228"/>
    </row>
    <row r="75" spans="2:3" ht="16.5" customHeight="1">
      <c r="B75" s="228"/>
      <c r="C75" s="228"/>
    </row>
    <row r="76" spans="2:3" ht="16.5" customHeight="1">
      <c r="B76" s="228"/>
      <c r="C76" s="228"/>
    </row>
    <row r="77" spans="2:3" ht="16.5" customHeight="1">
      <c r="B77" s="228"/>
      <c r="C77" s="228"/>
    </row>
    <row r="78" spans="2:3" ht="16.5" customHeight="1">
      <c r="B78" s="228"/>
      <c r="C78" s="228"/>
    </row>
    <row r="79" spans="2:3" ht="16.5" customHeight="1">
      <c r="B79" s="228"/>
      <c r="C79" s="228"/>
    </row>
    <row r="80" spans="2:3" ht="16.5" customHeight="1">
      <c r="B80" s="228"/>
      <c r="C80" s="228"/>
    </row>
    <row r="81" spans="2:3" ht="16.5" customHeight="1">
      <c r="B81" s="228"/>
      <c r="C81" s="228"/>
    </row>
    <row r="82" spans="2:3" ht="16.5" customHeight="1">
      <c r="B82" s="228"/>
      <c r="C82" s="228"/>
    </row>
    <row r="83" spans="2:3" ht="16.5" customHeight="1">
      <c r="B83" s="228"/>
      <c r="C83" s="228"/>
    </row>
    <row r="84" spans="2:3" ht="16.5" customHeight="1">
      <c r="B84" s="228"/>
      <c r="C84" s="228"/>
    </row>
    <row r="85" spans="2:3" ht="16.5" customHeight="1">
      <c r="B85" s="228"/>
      <c r="C85" s="228"/>
    </row>
    <row r="86" spans="2:3" ht="16.5" customHeight="1">
      <c r="B86" s="228"/>
      <c r="C86" s="228"/>
    </row>
    <row r="87" spans="2:3" ht="16.5" customHeight="1">
      <c r="B87" s="228"/>
      <c r="C87" s="228"/>
    </row>
    <row r="88" spans="2:3" ht="16.5" customHeight="1">
      <c r="B88" s="228"/>
      <c r="C88" s="228"/>
    </row>
    <row r="89" spans="2:3" ht="16.5" customHeight="1">
      <c r="B89" s="228"/>
      <c r="C89" s="228"/>
    </row>
    <row r="90" spans="2:3" ht="16.5" customHeight="1">
      <c r="B90" s="228"/>
      <c r="C90" s="228"/>
    </row>
    <row r="91" spans="2:3" ht="16.5" customHeight="1"/>
    <row r="92" spans="2:3" ht="16.5" customHeight="1"/>
    <row r="93" spans="2:3" ht="16.5" customHeight="1"/>
    <row r="94" spans="2:3" ht="16.5" customHeight="1"/>
    <row r="95" spans="2:3" ht="16.5" customHeight="1"/>
    <row r="96" spans="2:3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11">
    <mergeCell ref="E3:E4"/>
    <mergeCell ref="F3:F4"/>
    <mergeCell ref="I3:I4"/>
    <mergeCell ref="J3:J4"/>
    <mergeCell ref="B2:G2"/>
    <mergeCell ref="H2:J2"/>
    <mergeCell ref="B3:B4"/>
    <mergeCell ref="C3:C4"/>
    <mergeCell ref="H3:H4"/>
    <mergeCell ref="G3:G4"/>
    <mergeCell ref="D3:D4"/>
  </mergeCells>
  <phoneticPr fontId="27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6F3EC-1D99-420B-AE58-C49266E57E8A}">
  <dimension ref="A1:I1000"/>
  <sheetViews>
    <sheetView topLeftCell="A3" zoomScale="85" zoomScaleNormal="85" workbookViewId="0">
      <selection activeCell="L28" sqref="L28"/>
    </sheetView>
  </sheetViews>
  <sheetFormatPr defaultColWidth="11.21875" defaultRowHeight="15.75"/>
  <cols>
    <col min="1" max="1" width="7.77734375" style="227" bestFit="1" customWidth="1"/>
    <col min="2" max="2" width="10.109375" style="227" bestFit="1" customWidth="1"/>
    <col min="3" max="3" width="11.21875" style="227" bestFit="1" customWidth="1"/>
    <col min="4" max="4" width="21" style="227" bestFit="1" customWidth="1"/>
    <col min="5" max="5" width="12.77734375" style="227" bestFit="1" customWidth="1"/>
    <col min="6" max="6" width="14" style="227" bestFit="1" customWidth="1"/>
    <col min="7" max="7" width="12.77734375" style="227" bestFit="1" customWidth="1"/>
    <col min="8" max="8" width="11.44140625" style="227" bestFit="1" customWidth="1"/>
    <col min="9" max="9" width="15" style="227" bestFit="1" customWidth="1"/>
    <col min="10" max="10" width="14" style="227" bestFit="1" customWidth="1"/>
    <col min="11" max="11" width="13.88671875" style="227" bestFit="1" customWidth="1"/>
    <col min="12" max="12" width="13.6640625" style="227" bestFit="1" customWidth="1"/>
    <col min="13" max="23" width="6.77734375" style="227" customWidth="1"/>
    <col min="24" max="16384" width="11.21875" style="227"/>
  </cols>
  <sheetData>
    <row r="1" spans="1:9" ht="16.5" customHeight="1" thickBot="1"/>
    <row r="2" spans="1:9" ht="16.5" customHeight="1">
      <c r="B2" s="363" t="s">
        <v>65</v>
      </c>
      <c r="C2" s="364"/>
      <c r="D2" s="364"/>
      <c r="E2" s="364"/>
      <c r="F2" s="232" t="s">
        <v>66</v>
      </c>
      <c r="G2"/>
      <c r="H2"/>
      <c r="I2"/>
    </row>
    <row r="3" spans="1:9" ht="16.5" customHeight="1">
      <c r="B3" s="365" t="s">
        <v>333</v>
      </c>
      <c r="C3" s="360"/>
      <c r="D3" s="360" t="s">
        <v>334</v>
      </c>
      <c r="E3" s="360" t="s">
        <v>338</v>
      </c>
      <c r="F3" s="368" t="s">
        <v>330</v>
      </c>
      <c r="G3"/>
      <c r="H3"/>
    </row>
    <row r="4" spans="1:9" ht="16.5" customHeight="1">
      <c r="B4" s="365"/>
      <c r="C4" s="360"/>
      <c r="D4" s="360"/>
      <c r="E4" s="360"/>
      <c r="F4" s="368"/>
    </row>
    <row r="5" spans="1:9" ht="16.5" customHeight="1">
      <c r="B5" s="378">
        <v>0.02</v>
      </c>
      <c r="C5" s="379"/>
      <c r="D5" s="253">
        <v>100</v>
      </c>
      <c r="E5" s="253">
        <v>1</v>
      </c>
      <c r="F5" s="254">
        <f>E5*(B5*D5)</f>
        <v>2</v>
      </c>
    </row>
    <row r="6" spans="1:9" ht="16.5" customHeight="1">
      <c r="B6" s="365" t="s">
        <v>336</v>
      </c>
      <c r="C6" s="360"/>
      <c r="D6" s="360" t="s">
        <v>335</v>
      </c>
      <c r="E6" s="360" t="s">
        <v>337</v>
      </c>
      <c r="F6" s="368" t="s">
        <v>339</v>
      </c>
    </row>
    <row r="7" spans="1:9" ht="16.5" customHeight="1">
      <c r="B7" s="365"/>
      <c r="C7" s="360"/>
      <c r="D7" s="360"/>
      <c r="E7" s="360"/>
      <c r="F7" s="368"/>
    </row>
    <row r="8" spans="1:9" ht="20.25">
      <c r="B8" s="378">
        <v>10</v>
      </c>
      <c r="C8" s="379"/>
      <c r="D8" s="253">
        <v>10</v>
      </c>
      <c r="E8" s="253">
        <v>5</v>
      </c>
      <c r="F8" s="254">
        <f>B8*D8*E8</f>
        <v>500</v>
      </c>
    </row>
    <row r="9" spans="1:9" ht="16.5" customHeight="1">
      <c r="B9" s="365" t="s">
        <v>340</v>
      </c>
      <c r="C9" s="360"/>
      <c r="D9" s="360" t="s">
        <v>331</v>
      </c>
      <c r="E9" s="360" t="s">
        <v>332</v>
      </c>
      <c r="F9" s="368" t="s">
        <v>329</v>
      </c>
    </row>
    <row r="10" spans="1:9" ht="16.5" customHeight="1">
      <c r="B10" s="365"/>
      <c r="C10" s="360"/>
      <c r="D10" s="360"/>
      <c r="E10" s="360"/>
      <c r="F10" s="368"/>
    </row>
    <row r="11" spans="1:9" ht="16.5" customHeight="1">
      <c r="B11" s="378">
        <v>0.02</v>
      </c>
      <c r="C11" s="379"/>
      <c r="D11" s="252">
        <v>1000</v>
      </c>
      <c r="E11" s="253">
        <v>380</v>
      </c>
      <c r="F11" s="254">
        <f>B11/3600*(D14-E14)*F8</f>
        <v>2.963153977656801</v>
      </c>
    </row>
    <row r="12" spans="1:9" ht="16.5" customHeight="1">
      <c r="A12" s="381" t="s">
        <v>346</v>
      </c>
      <c r="B12" s="380" t="s">
        <v>344</v>
      </c>
      <c r="C12" s="383" t="s">
        <v>345</v>
      </c>
      <c r="D12" s="382" t="s">
        <v>342</v>
      </c>
      <c r="E12" s="382" t="s">
        <v>341</v>
      </c>
      <c r="F12" s="368" t="s">
        <v>328</v>
      </c>
    </row>
    <row r="13" spans="1:9" ht="16.5" customHeight="1">
      <c r="A13" s="381"/>
      <c r="B13" s="380"/>
      <c r="C13" s="383"/>
      <c r="D13" s="382"/>
      <c r="E13" s="382"/>
      <c r="F13" s="368"/>
    </row>
    <row r="14" spans="1:9" ht="16.5" customHeight="1" thickBot="1">
      <c r="B14" s="249">
        <v>25</v>
      </c>
      <c r="C14" s="259">
        <v>5</v>
      </c>
      <c r="D14" s="255">
        <f>D11*44.01/22.4*273/(273+$B$14)</f>
        <v>1799.9056208053692</v>
      </c>
      <c r="E14" s="255">
        <f>E11*44.01/22.4*273/(273+$C$14)</f>
        <v>733.17018884892082</v>
      </c>
      <c r="F14" s="243">
        <f>F5+F11</f>
        <v>4.963153977656801</v>
      </c>
    </row>
    <row r="15" spans="1:9" ht="16.5" customHeight="1">
      <c r="C15" s="228"/>
      <c r="D15" s="257"/>
      <c r="E15" s="257"/>
    </row>
    <row r="16" spans="1:9" ht="16.5" customHeight="1">
      <c r="C16" s="228"/>
    </row>
    <row r="17" spans="3:4" ht="16.5" customHeight="1">
      <c r="C17" s="228"/>
      <c r="D17" s="228"/>
    </row>
    <row r="18" spans="3:4" ht="16.5" customHeight="1">
      <c r="C18" s="228"/>
      <c r="D18" s="228"/>
    </row>
    <row r="19" spans="3:4" ht="16.5" customHeight="1">
      <c r="C19" s="228"/>
      <c r="D19" s="228"/>
    </row>
    <row r="20" spans="3:4" ht="16.5" customHeight="1">
      <c r="C20" s="228"/>
      <c r="D20" s="228"/>
    </row>
    <row r="21" spans="3:4" ht="16.5" customHeight="1">
      <c r="C21" s="228"/>
      <c r="D21" s="228"/>
    </row>
    <row r="22" spans="3:4" ht="16.5" customHeight="1">
      <c r="C22" s="228"/>
      <c r="D22" s="228"/>
    </row>
    <row r="23" spans="3:4" ht="16.5" customHeight="1">
      <c r="C23" s="228"/>
      <c r="D23" s="228"/>
    </row>
    <row r="24" spans="3:4" ht="16.5" customHeight="1">
      <c r="C24" s="228"/>
      <c r="D24" s="228"/>
    </row>
    <row r="25" spans="3:4" ht="16.5" customHeight="1">
      <c r="C25" s="228"/>
      <c r="D25" s="228"/>
    </row>
    <row r="26" spans="3:4" ht="16.5" customHeight="1">
      <c r="C26" s="228"/>
      <c r="D26" s="228"/>
    </row>
    <row r="27" spans="3:4" ht="16.5" customHeight="1">
      <c r="C27" s="228"/>
      <c r="D27" s="228"/>
    </row>
    <row r="28" spans="3:4" ht="16.5" customHeight="1">
      <c r="C28" s="228"/>
      <c r="D28" s="228"/>
    </row>
    <row r="29" spans="3:4" ht="16.5" customHeight="1">
      <c r="C29" s="228"/>
      <c r="D29" s="228"/>
    </row>
    <row r="30" spans="3:4" ht="16.5" customHeight="1">
      <c r="C30" s="228"/>
      <c r="D30" s="228"/>
    </row>
    <row r="31" spans="3:4" ht="16.5" customHeight="1">
      <c r="C31" s="228"/>
      <c r="D31" s="228"/>
    </row>
    <row r="32" spans="3:4" ht="16.5" customHeight="1">
      <c r="C32" s="228"/>
      <c r="D32" s="228"/>
    </row>
    <row r="33" spans="3:4" ht="16.5" customHeight="1">
      <c r="C33" s="228"/>
      <c r="D33" s="228"/>
    </row>
    <row r="34" spans="3:4" ht="16.5" customHeight="1">
      <c r="C34" s="228"/>
      <c r="D34" s="228"/>
    </row>
    <row r="35" spans="3:4" ht="16.5" customHeight="1">
      <c r="C35" s="228"/>
      <c r="D35" s="228"/>
    </row>
    <row r="36" spans="3:4" ht="16.5" customHeight="1">
      <c r="C36" s="228"/>
      <c r="D36" s="228"/>
    </row>
    <row r="37" spans="3:4" ht="16.5" customHeight="1">
      <c r="C37" s="228"/>
      <c r="D37" s="228"/>
    </row>
    <row r="38" spans="3:4" ht="16.5" customHeight="1">
      <c r="C38" s="228"/>
      <c r="D38" s="228"/>
    </row>
    <row r="39" spans="3:4" ht="16.5" customHeight="1">
      <c r="C39" s="228"/>
      <c r="D39" s="228"/>
    </row>
    <row r="40" spans="3:4" ht="16.5" customHeight="1">
      <c r="C40" s="228"/>
      <c r="D40" s="228"/>
    </row>
    <row r="41" spans="3:4" ht="16.5" customHeight="1">
      <c r="C41" s="228"/>
      <c r="D41" s="228"/>
    </row>
    <row r="42" spans="3:4" ht="16.5" customHeight="1">
      <c r="C42" s="228"/>
      <c r="D42" s="228"/>
    </row>
    <row r="43" spans="3:4" ht="16.5" customHeight="1">
      <c r="C43" s="228"/>
      <c r="D43" s="228"/>
    </row>
    <row r="44" spans="3:4" ht="16.5" customHeight="1">
      <c r="C44" s="228"/>
      <c r="D44" s="228"/>
    </row>
    <row r="45" spans="3:4" ht="16.5" customHeight="1">
      <c r="C45" s="228"/>
      <c r="D45" s="228"/>
    </row>
    <row r="46" spans="3:4" ht="16.5" customHeight="1">
      <c r="C46" s="228"/>
      <c r="D46" s="228"/>
    </row>
    <row r="47" spans="3:4" ht="16.5" customHeight="1">
      <c r="C47" s="228"/>
      <c r="D47" s="228"/>
    </row>
    <row r="48" spans="3:4" ht="16.5" customHeight="1">
      <c r="C48" s="228"/>
      <c r="D48" s="228"/>
    </row>
    <row r="49" spans="3:4" ht="16.5" customHeight="1">
      <c r="C49" s="228"/>
      <c r="D49" s="228"/>
    </row>
    <row r="50" spans="3:4" ht="16.5" customHeight="1">
      <c r="C50" s="228"/>
      <c r="D50" s="228"/>
    </row>
    <row r="51" spans="3:4" ht="16.5" customHeight="1">
      <c r="C51" s="228"/>
      <c r="D51" s="228"/>
    </row>
    <row r="52" spans="3:4" ht="16.5" customHeight="1">
      <c r="C52" s="228"/>
      <c r="D52" s="228"/>
    </row>
    <row r="53" spans="3:4" ht="16.5" customHeight="1">
      <c r="C53" s="228"/>
      <c r="D53" s="228"/>
    </row>
    <row r="54" spans="3:4" ht="16.5" customHeight="1">
      <c r="C54" s="228"/>
      <c r="D54" s="228"/>
    </row>
    <row r="55" spans="3:4" ht="16.5" customHeight="1">
      <c r="C55" s="228"/>
      <c r="D55" s="228"/>
    </row>
    <row r="56" spans="3:4" ht="16.5" customHeight="1">
      <c r="C56" s="228"/>
      <c r="D56" s="228"/>
    </row>
    <row r="57" spans="3:4" ht="16.5" customHeight="1">
      <c r="C57" s="228"/>
      <c r="D57" s="228"/>
    </row>
    <row r="58" spans="3:4" ht="16.5" customHeight="1">
      <c r="C58" s="228"/>
      <c r="D58" s="228"/>
    </row>
    <row r="59" spans="3:4" ht="16.5" customHeight="1">
      <c r="C59" s="228"/>
      <c r="D59" s="228"/>
    </row>
    <row r="60" spans="3:4" ht="16.5" customHeight="1">
      <c r="C60" s="228"/>
      <c r="D60" s="228"/>
    </row>
    <row r="61" spans="3:4" ht="16.5" customHeight="1">
      <c r="C61" s="228"/>
      <c r="D61" s="228"/>
    </row>
    <row r="62" spans="3:4" ht="16.5" customHeight="1">
      <c r="C62" s="228"/>
      <c r="D62" s="228"/>
    </row>
    <row r="63" spans="3:4" ht="16.5" customHeight="1">
      <c r="C63" s="228"/>
      <c r="D63" s="228"/>
    </row>
    <row r="64" spans="3:4" ht="16.5" customHeight="1">
      <c r="C64" s="228"/>
      <c r="D64" s="228"/>
    </row>
    <row r="65" spans="3:4" ht="16.5" customHeight="1">
      <c r="C65" s="228"/>
      <c r="D65" s="228"/>
    </row>
    <row r="66" spans="3:4" ht="16.5" customHeight="1">
      <c r="C66" s="228"/>
      <c r="D66" s="228"/>
    </row>
    <row r="67" spans="3:4" ht="16.5" customHeight="1">
      <c r="C67" s="228"/>
      <c r="D67" s="228"/>
    </row>
    <row r="68" spans="3:4" ht="16.5" customHeight="1">
      <c r="C68" s="228"/>
      <c r="D68" s="228"/>
    </row>
    <row r="69" spans="3:4" ht="16.5" customHeight="1">
      <c r="C69" s="228"/>
      <c r="D69" s="228"/>
    </row>
    <row r="70" spans="3:4" ht="16.5" customHeight="1">
      <c r="C70" s="228"/>
      <c r="D70" s="228"/>
    </row>
    <row r="71" spans="3:4" ht="16.5" customHeight="1">
      <c r="C71" s="228"/>
      <c r="D71" s="228"/>
    </row>
    <row r="72" spans="3:4" ht="16.5" customHeight="1">
      <c r="C72" s="228"/>
      <c r="D72" s="228"/>
    </row>
    <row r="73" spans="3:4" ht="16.5" customHeight="1">
      <c r="C73" s="228"/>
      <c r="D73" s="228"/>
    </row>
    <row r="74" spans="3:4" ht="16.5" customHeight="1">
      <c r="C74" s="228"/>
      <c r="D74" s="228"/>
    </row>
    <row r="75" spans="3:4" ht="16.5" customHeight="1">
      <c r="C75" s="228"/>
      <c r="D75" s="228"/>
    </row>
    <row r="76" spans="3:4" ht="16.5" customHeight="1">
      <c r="C76" s="228"/>
      <c r="D76" s="228"/>
    </row>
    <row r="77" spans="3:4" ht="16.5" customHeight="1">
      <c r="C77" s="228"/>
      <c r="D77" s="228"/>
    </row>
    <row r="78" spans="3:4" ht="16.5" customHeight="1">
      <c r="C78" s="228"/>
      <c r="D78" s="228"/>
    </row>
    <row r="79" spans="3:4" ht="16.5" customHeight="1">
      <c r="C79" s="228"/>
      <c r="D79" s="228"/>
    </row>
    <row r="80" spans="3:4" ht="16.5" customHeight="1">
      <c r="C80" s="228"/>
      <c r="D80" s="228"/>
    </row>
    <row r="81" spans="3:4" ht="16.5" customHeight="1">
      <c r="C81" s="228"/>
      <c r="D81" s="228"/>
    </row>
    <row r="82" spans="3:4" ht="16.5" customHeight="1">
      <c r="C82" s="228"/>
      <c r="D82" s="228"/>
    </row>
    <row r="83" spans="3:4" ht="16.5" customHeight="1">
      <c r="C83" s="228"/>
      <c r="D83" s="228"/>
    </row>
    <row r="84" spans="3:4" ht="16.5" customHeight="1">
      <c r="C84" s="228"/>
      <c r="D84" s="228"/>
    </row>
    <row r="85" spans="3:4" ht="16.5" customHeight="1">
      <c r="C85" s="228"/>
      <c r="D85" s="228"/>
    </row>
    <row r="86" spans="3:4" ht="16.5" customHeight="1">
      <c r="C86" s="228"/>
      <c r="D86" s="228"/>
    </row>
    <row r="87" spans="3:4" ht="16.5" customHeight="1">
      <c r="C87" s="228"/>
      <c r="D87" s="228"/>
    </row>
    <row r="88" spans="3:4" ht="16.5" customHeight="1">
      <c r="C88" s="228"/>
      <c r="D88" s="228"/>
    </row>
    <row r="89" spans="3:4" ht="16.5" customHeight="1">
      <c r="C89" s="228"/>
      <c r="D89" s="228"/>
    </row>
    <row r="90" spans="3:4" ht="16.5" customHeight="1">
      <c r="C90" s="228"/>
      <c r="D90" s="228"/>
    </row>
    <row r="91" spans="3:4" ht="16.5" customHeight="1"/>
    <row r="92" spans="3:4" ht="16.5" customHeight="1"/>
    <row r="93" spans="3:4" ht="16.5" customHeight="1"/>
    <row r="94" spans="3:4" ht="16.5" customHeight="1"/>
    <row r="95" spans="3:4" ht="16.5" customHeight="1"/>
    <row r="96" spans="3:4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22">
    <mergeCell ref="B9:C10"/>
    <mergeCell ref="B12:B13"/>
    <mergeCell ref="A12:A13"/>
    <mergeCell ref="E12:E13"/>
    <mergeCell ref="D12:D13"/>
    <mergeCell ref="C12:C13"/>
    <mergeCell ref="B11:C11"/>
    <mergeCell ref="B2:E2"/>
    <mergeCell ref="B3:C4"/>
    <mergeCell ref="B5:C5"/>
    <mergeCell ref="B6:C7"/>
    <mergeCell ref="B8:C8"/>
    <mergeCell ref="F12:F13"/>
    <mergeCell ref="E6:E7"/>
    <mergeCell ref="E3:E4"/>
    <mergeCell ref="F6:F7"/>
    <mergeCell ref="D3:D4"/>
    <mergeCell ref="D6:D7"/>
    <mergeCell ref="D9:D10"/>
    <mergeCell ref="E9:E10"/>
    <mergeCell ref="F3:F4"/>
    <mergeCell ref="F9:F10"/>
  </mergeCells>
  <phoneticPr fontId="27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3D191-09B8-4B7F-B217-81F231B89955}">
  <dimension ref="B1:I1000"/>
  <sheetViews>
    <sheetView topLeftCell="A10" zoomScale="85" zoomScaleNormal="85" workbookViewId="0">
      <selection activeCell="G20" sqref="G20"/>
    </sheetView>
  </sheetViews>
  <sheetFormatPr defaultColWidth="11.21875" defaultRowHeight="15.75"/>
  <cols>
    <col min="1" max="1" width="7.77734375" style="227" bestFit="1" customWidth="1"/>
    <col min="2" max="5" width="12.77734375" style="227" customWidth="1"/>
    <col min="6" max="7" width="12.88671875" style="227" customWidth="1"/>
    <col min="8" max="9" width="12.77734375" style="227" bestFit="1" customWidth="1"/>
    <col min="10" max="10" width="11.44140625" style="227" bestFit="1" customWidth="1"/>
    <col min="11" max="11" width="15" style="227" bestFit="1" customWidth="1"/>
    <col min="12" max="12" width="14" style="227" bestFit="1" customWidth="1"/>
    <col min="13" max="13" width="13.88671875" style="227" bestFit="1" customWidth="1"/>
    <col min="14" max="14" width="13.6640625" style="227" bestFit="1" customWidth="1"/>
    <col min="15" max="25" width="6.77734375" style="227" customWidth="1"/>
    <col min="26" max="16384" width="11.21875" style="227"/>
  </cols>
  <sheetData>
    <row r="1" spans="2:9" ht="16.5" customHeight="1" thickBot="1"/>
    <row r="2" spans="2:9" ht="16.5" customHeight="1">
      <c r="B2" s="363" t="s">
        <v>65</v>
      </c>
      <c r="C2" s="364"/>
      <c r="D2" s="364"/>
      <c r="E2" s="364"/>
      <c r="F2" s="364"/>
      <c r="G2" s="364"/>
      <c r="H2" s="366" t="s">
        <v>66</v>
      </c>
      <c r="I2" s="367"/>
    </row>
    <row r="3" spans="2:9" ht="16.5" customHeight="1">
      <c r="B3" s="365" t="s">
        <v>333</v>
      </c>
      <c r="C3" s="360"/>
      <c r="D3" s="360" t="s">
        <v>334</v>
      </c>
      <c r="E3" s="360"/>
      <c r="F3" s="360" t="s">
        <v>347</v>
      </c>
      <c r="G3" s="360"/>
      <c r="H3" s="358" t="s">
        <v>353</v>
      </c>
      <c r="I3" s="368"/>
    </row>
    <row r="4" spans="2:9" ht="16.5" customHeight="1">
      <c r="B4" s="365"/>
      <c r="C4" s="360"/>
      <c r="D4" s="360"/>
      <c r="E4" s="360"/>
      <c r="F4" s="360"/>
      <c r="G4" s="360"/>
      <c r="H4" s="358"/>
      <c r="I4" s="368"/>
    </row>
    <row r="5" spans="2:9" ht="16.5" customHeight="1">
      <c r="B5" s="378">
        <v>0.02</v>
      </c>
      <c r="C5" s="379"/>
      <c r="D5" s="387">
        <v>100</v>
      </c>
      <c r="E5" s="387"/>
      <c r="F5" s="387">
        <v>1</v>
      </c>
      <c r="G5" s="387"/>
      <c r="H5" s="388">
        <f>F5*(B5*D5)</f>
        <v>2</v>
      </c>
      <c r="I5" s="389"/>
    </row>
    <row r="6" spans="2:9" ht="16.5" customHeight="1">
      <c r="B6" s="365" t="s">
        <v>336</v>
      </c>
      <c r="C6" s="360"/>
      <c r="D6" s="360" t="s">
        <v>335</v>
      </c>
      <c r="E6" s="360"/>
      <c r="F6" s="360" t="s">
        <v>337</v>
      </c>
      <c r="G6" s="360"/>
      <c r="H6" s="358" t="s">
        <v>339</v>
      </c>
      <c r="I6" s="368"/>
    </row>
    <row r="7" spans="2:9" ht="16.5" customHeight="1">
      <c r="B7" s="365"/>
      <c r="C7" s="360"/>
      <c r="D7" s="360"/>
      <c r="E7" s="360"/>
      <c r="F7" s="360"/>
      <c r="G7" s="360"/>
      <c r="H7" s="358"/>
      <c r="I7" s="368"/>
    </row>
    <row r="8" spans="2:9" ht="20.25">
      <c r="B8" s="378">
        <v>10</v>
      </c>
      <c r="C8" s="379"/>
      <c r="D8" s="387">
        <v>10</v>
      </c>
      <c r="E8" s="387"/>
      <c r="F8" s="387">
        <v>5</v>
      </c>
      <c r="G8" s="387"/>
      <c r="H8" s="388">
        <f>B8*D8*F8</f>
        <v>500</v>
      </c>
      <c r="I8" s="389"/>
    </row>
    <row r="9" spans="2:9" ht="16.5" customHeight="1">
      <c r="B9" s="365" t="s">
        <v>340</v>
      </c>
      <c r="C9" s="360"/>
      <c r="D9" s="386" t="s">
        <v>348</v>
      </c>
      <c r="E9" s="386" t="s">
        <v>350</v>
      </c>
      <c r="F9" s="386" t="s">
        <v>349</v>
      </c>
      <c r="G9" s="386" t="s">
        <v>351</v>
      </c>
      <c r="H9" s="358" t="s">
        <v>352</v>
      </c>
      <c r="I9" s="368" t="s">
        <v>359</v>
      </c>
    </row>
    <row r="10" spans="2:9" ht="16.5" customHeight="1">
      <c r="B10" s="365"/>
      <c r="C10" s="360"/>
      <c r="D10" s="386"/>
      <c r="E10" s="386"/>
      <c r="F10" s="386"/>
      <c r="G10" s="386"/>
      <c r="H10" s="358"/>
      <c r="I10" s="368"/>
    </row>
    <row r="11" spans="2:9" ht="16.5" customHeight="1" thickBot="1">
      <c r="B11" s="384">
        <v>0.02</v>
      </c>
      <c r="C11" s="385"/>
      <c r="D11" s="259">
        <v>25</v>
      </c>
      <c r="E11" s="266">
        <v>0.8</v>
      </c>
      <c r="F11" s="259">
        <v>5</v>
      </c>
      <c r="G11" s="266">
        <v>0.4</v>
      </c>
      <c r="H11" s="267">
        <f>(2166/(273.16+D11))*0.61078*EXP(17.269*D11/(237.3+D11))*E11</f>
        <v>18.40764141037663</v>
      </c>
      <c r="I11" s="268">
        <f>(2166/(273.16+F11))*0.61078*EXP(17.269*F11/(237.3+F11))*G11</f>
        <v>2.7168891072355303</v>
      </c>
    </row>
    <row r="12" spans="2:9" ht="16.5" customHeight="1">
      <c r="B12" s="258"/>
      <c r="C12" s="258"/>
      <c r="D12" s="258"/>
      <c r="E12" s="258"/>
      <c r="F12" s="258"/>
      <c r="G12" s="258"/>
      <c r="H12" s="390" t="s">
        <v>354</v>
      </c>
      <c r="I12" s="391"/>
    </row>
    <row r="13" spans="2:9" ht="16.5" customHeight="1" thickBot="1">
      <c r="G13" s="258"/>
      <c r="H13" s="392"/>
      <c r="I13" s="368"/>
    </row>
    <row r="14" spans="2:9" ht="16.5" customHeight="1">
      <c r="F14" s="400" t="s">
        <v>357</v>
      </c>
      <c r="G14" s="401"/>
      <c r="H14" s="388">
        <f>B11*(H11-I11)*H8*1000/3600</f>
        <v>43.585423064280839</v>
      </c>
      <c r="I14" s="389"/>
    </row>
    <row r="15" spans="2:9" ht="16.5" customHeight="1">
      <c r="D15" s="257"/>
      <c r="E15" s="257"/>
      <c r="F15" s="394" t="s">
        <v>356</v>
      </c>
      <c r="G15" s="395"/>
      <c r="H15" s="358" t="s">
        <v>355</v>
      </c>
      <c r="I15" s="368"/>
    </row>
    <row r="16" spans="2:9" ht="16.5" customHeight="1">
      <c r="F16" s="396"/>
      <c r="G16" s="397"/>
      <c r="H16" s="358"/>
      <c r="I16" s="368"/>
    </row>
    <row r="17" spans="3:9" ht="16.5" customHeight="1" thickBot="1">
      <c r="F17" s="398">
        <v>0</v>
      </c>
      <c r="G17" s="399"/>
      <c r="H17" s="361">
        <f>H14-F17-H5</f>
        <v>41.585423064280839</v>
      </c>
      <c r="I17" s="393"/>
    </row>
    <row r="18" spans="3:9" ht="16.5" customHeight="1">
      <c r="C18" s="228"/>
      <c r="D18" s="228"/>
      <c r="E18" s="228"/>
      <c r="F18" s="228"/>
    </row>
    <row r="19" spans="3:9" ht="16.5" customHeight="1"/>
    <row r="20" spans="3:9" ht="16.5" customHeight="1"/>
    <row r="21" spans="3:9" ht="16.5" customHeight="1">
      <c r="C21" s="228"/>
      <c r="D21" s="228"/>
      <c r="E21" s="228"/>
      <c r="F21" s="228"/>
    </row>
    <row r="22" spans="3:9" ht="16.5" customHeight="1">
      <c r="C22" s="228"/>
      <c r="D22" s="228"/>
      <c r="E22" s="228"/>
      <c r="F22" s="228"/>
    </row>
    <row r="23" spans="3:9" ht="16.5" customHeight="1">
      <c r="C23" s="228"/>
      <c r="D23" s="228"/>
      <c r="E23" s="228"/>
      <c r="F23" s="228"/>
    </row>
    <row r="24" spans="3:9" ht="16.5" customHeight="1">
      <c r="C24" s="228"/>
      <c r="D24" s="228"/>
      <c r="E24" s="228"/>
      <c r="F24" s="228"/>
    </row>
    <row r="25" spans="3:9" ht="16.5" customHeight="1">
      <c r="C25" s="228"/>
      <c r="D25" s="228"/>
      <c r="E25" s="228"/>
      <c r="F25" s="228"/>
    </row>
    <row r="26" spans="3:9" ht="16.5" customHeight="1">
      <c r="C26" s="228"/>
      <c r="D26" s="228"/>
      <c r="E26" s="228"/>
      <c r="F26" s="228"/>
    </row>
    <row r="27" spans="3:9" ht="16.5" customHeight="1">
      <c r="C27" s="228"/>
      <c r="D27" s="228"/>
      <c r="E27" s="228"/>
      <c r="F27" s="228"/>
    </row>
    <row r="28" spans="3:9" ht="16.5" customHeight="1">
      <c r="C28" s="228"/>
      <c r="D28" s="228"/>
      <c r="E28" s="228"/>
      <c r="F28" s="228"/>
    </row>
    <row r="29" spans="3:9" ht="16.5" customHeight="1">
      <c r="C29" s="228"/>
      <c r="D29" s="228"/>
      <c r="E29" s="228"/>
      <c r="F29" s="228"/>
    </row>
    <row r="30" spans="3:9" ht="16.5" customHeight="1">
      <c r="C30" s="228"/>
      <c r="D30" s="228"/>
      <c r="E30" s="228"/>
      <c r="F30" s="228"/>
    </row>
    <row r="31" spans="3:9" ht="16.5" customHeight="1">
      <c r="C31" s="228"/>
      <c r="D31" s="228"/>
      <c r="E31" s="228"/>
      <c r="F31" s="228"/>
    </row>
    <row r="32" spans="3:9" ht="16.5" customHeight="1">
      <c r="C32" s="228"/>
      <c r="D32" s="228"/>
      <c r="E32" s="228"/>
      <c r="F32" s="228"/>
    </row>
    <row r="33" spans="3:6" ht="16.5" customHeight="1">
      <c r="C33" s="228"/>
      <c r="D33" s="228"/>
      <c r="E33" s="228"/>
      <c r="F33" s="228"/>
    </row>
    <row r="34" spans="3:6" ht="16.5" customHeight="1">
      <c r="C34" s="228"/>
      <c r="D34" s="228"/>
      <c r="E34" s="228"/>
      <c r="F34" s="228"/>
    </row>
    <row r="35" spans="3:6" ht="16.5" customHeight="1">
      <c r="C35" s="228"/>
      <c r="D35" s="228"/>
      <c r="E35" s="228"/>
      <c r="F35" s="228"/>
    </row>
    <row r="36" spans="3:6" ht="16.5" customHeight="1">
      <c r="C36" s="228"/>
      <c r="D36" s="228"/>
      <c r="E36" s="228"/>
      <c r="F36" s="228"/>
    </row>
    <row r="37" spans="3:6" ht="16.5" customHeight="1">
      <c r="C37" s="228"/>
      <c r="D37" s="228"/>
      <c r="E37" s="228"/>
      <c r="F37" s="228"/>
    </row>
    <row r="38" spans="3:6" ht="16.5" customHeight="1">
      <c r="C38" s="228"/>
      <c r="D38" s="228"/>
      <c r="E38" s="228"/>
      <c r="F38" s="228"/>
    </row>
    <row r="39" spans="3:6" ht="16.5" customHeight="1">
      <c r="C39" s="228"/>
      <c r="D39" s="228"/>
      <c r="E39" s="228"/>
      <c r="F39" s="228"/>
    </row>
    <row r="40" spans="3:6" ht="16.5" customHeight="1">
      <c r="C40" s="228"/>
      <c r="D40" s="228"/>
      <c r="E40" s="228"/>
      <c r="F40" s="228"/>
    </row>
    <row r="41" spans="3:6" ht="16.5" customHeight="1">
      <c r="C41" s="228"/>
      <c r="D41" s="228"/>
      <c r="E41" s="228"/>
      <c r="F41" s="228"/>
    </row>
    <row r="42" spans="3:6" ht="16.5" customHeight="1">
      <c r="C42" s="228"/>
      <c r="D42" s="228"/>
      <c r="E42" s="228"/>
      <c r="F42" s="228"/>
    </row>
    <row r="43" spans="3:6" ht="16.5" customHeight="1">
      <c r="C43" s="228"/>
      <c r="D43" s="228"/>
      <c r="E43" s="228"/>
      <c r="F43" s="228"/>
    </row>
    <row r="44" spans="3:6" ht="16.5" customHeight="1">
      <c r="C44" s="228"/>
      <c r="D44" s="228"/>
      <c r="E44" s="228"/>
      <c r="F44" s="228"/>
    </row>
    <row r="45" spans="3:6" ht="16.5" customHeight="1">
      <c r="C45" s="228"/>
      <c r="D45" s="228"/>
      <c r="E45" s="228"/>
      <c r="F45" s="228"/>
    </row>
    <row r="46" spans="3:6" ht="16.5" customHeight="1">
      <c r="C46" s="228"/>
      <c r="D46" s="228"/>
      <c r="E46" s="228"/>
      <c r="F46" s="228"/>
    </row>
    <row r="47" spans="3:6" ht="16.5" customHeight="1">
      <c r="C47" s="228"/>
      <c r="D47" s="228"/>
      <c r="E47" s="228"/>
      <c r="F47" s="228"/>
    </row>
    <row r="48" spans="3:6" ht="16.5" customHeight="1">
      <c r="C48" s="228"/>
      <c r="D48" s="228"/>
      <c r="E48" s="228"/>
      <c r="F48" s="228"/>
    </row>
    <row r="49" spans="3:6" ht="16.5" customHeight="1">
      <c r="C49" s="228"/>
      <c r="D49" s="228"/>
      <c r="E49" s="228"/>
      <c r="F49" s="228"/>
    </row>
    <row r="50" spans="3:6" ht="16.5" customHeight="1">
      <c r="C50" s="228"/>
      <c r="D50" s="228"/>
      <c r="E50" s="228"/>
      <c r="F50" s="228"/>
    </row>
    <row r="51" spans="3:6" ht="16.5" customHeight="1">
      <c r="C51" s="228"/>
      <c r="D51" s="228"/>
      <c r="E51" s="228"/>
      <c r="F51" s="228"/>
    </row>
    <row r="52" spans="3:6" ht="16.5" customHeight="1">
      <c r="C52" s="228"/>
      <c r="D52" s="228"/>
      <c r="E52" s="228"/>
      <c r="F52" s="228"/>
    </row>
    <row r="53" spans="3:6" ht="16.5" customHeight="1">
      <c r="C53" s="228"/>
      <c r="D53" s="228"/>
      <c r="E53" s="228"/>
      <c r="F53" s="228"/>
    </row>
    <row r="54" spans="3:6" ht="16.5" customHeight="1">
      <c r="C54" s="228"/>
      <c r="D54" s="228"/>
      <c r="E54" s="228"/>
      <c r="F54" s="228"/>
    </row>
    <row r="55" spans="3:6" ht="16.5" customHeight="1">
      <c r="C55" s="228"/>
      <c r="D55" s="228"/>
      <c r="E55" s="228"/>
      <c r="F55" s="228"/>
    </row>
    <row r="56" spans="3:6" ht="16.5" customHeight="1">
      <c r="C56" s="228"/>
      <c r="D56" s="228"/>
      <c r="E56" s="228"/>
      <c r="F56" s="228"/>
    </row>
    <row r="57" spans="3:6" ht="16.5" customHeight="1">
      <c r="C57" s="228"/>
      <c r="D57" s="228"/>
      <c r="E57" s="228"/>
      <c r="F57" s="228"/>
    </row>
    <row r="58" spans="3:6" ht="16.5" customHeight="1">
      <c r="C58" s="228"/>
      <c r="D58" s="228"/>
      <c r="E58" s="228"/>
      <c r="F58" s="228"/>
    </row>
    <row r="59" spans="3:6" ht="16.5" customHeight="1">
      <c r="C59" s="228"/>
      <c r="D59" s="228"/>
      <c r="E59" s="228"/>
      <c r="F59" s="228"/>
    </row>
    <row r="60" spans="3:6" ht="16.5" customHeight="1">
      <c r="C60" s="228"/>
      <c r="D60" s="228"/>
      <c r="E60" s="228"/>
      <c r="F60" s="228"/>
    </row>
    <row r="61" spans="3:6" ht="16.5" customHeight="1">
      <c r="C61" s="228"/>
      <c r="D61" s="228"/>
      <c r="E61" s="228"/>
      <c r="F61" s="228"/>
    </row>
    <row r="62" spans="3:6" ht="16.5" customHeight="1">
      <c r="C62" s="228"/>
      <c r="D62" s="228"/>
      <c r="E62" s="228"/>
      <c r="F62" s="228"/>
    </row>
    <row r="63" spans="3:6" ht="16.5" customHeight="1">
      <c r="C63" s="228"/>
      <c r="D63" s="228"/>
      <c r="E63" s="228"/>
      <c r="F63" s="228"/>
    </row>
    <row r="64" spans="3:6" ht="16.5" customHeight="1">
      <c r="C64" s="228"/>
      <c r="D64" s="228"/>
      <c r="E64" s="228"/>
      <c r="F64" s="228"/>
    </row>
    <row r="65" spans="3:6" ht="16.5" customHeight="1">
      <c r="C65" s="228"/>
      <c r="D65" s="228"/>
      <c r="E65" s="228"/>
      <c r="F65" s="228"/>
    </row>
    <row r="66" spans="3:6" ht="16.5" customHeight="1">
      <c r="C66" s="228"/>
      <c r="D66" s="228"/>
      <c r="E66" s="228"/>
      <c r="F66" s="228"/>
    </row>
    <row r="67" spans="3:6" ht="16.5" customHeight="1">
      <c r="C67" s="228"/>
      <c r="D67" s="228"/>
      <c r="E67" s="228"/>
      <c r="F67" s="228"/>
    </row>
    <row r="68" spans="3:6" ht="16.5" customHeight="1">
      <c r="C68" s="228"/>
      <c r="D68" s="228"/>
      <c r="E68" s="228"/>
      <c r="F68" s="228"/>
    </row>
    <row r="69" spans="3:6" ht="16.5" customHeight="1">
      <c r="C69" s="228"/>
      <c r="D69" s="228"/>
      <c r="E69" s="228"/>
      <c r="F69" s="228"/>
    </row>
    <row r="70" spans="3:6" ht="16.5" customHeight="1">
      <c r="C70" s="228"/>
      <c r="D70" s="228"/>
      <c r="E70" s="228"/>
      <c r="F70" s="228"/>
    </row>
    <row r="71" spans="3:6" ht="16.5" customHeight="1">
      <c r="C71" s="228"/>
      <c r="D71" s="228"/>
      <c r="E71" s="228"/>
      <c r="F71" s="228"/>
    </row>
    <row r="72" spans="3:6" ht="16.5" customHeight="1">
      <c r="C72" s="228"/>
      <c r="D72" s="228"/>
      <c r="E72" s="228"/>
      <c r="F72" s="228"/>
    </row>
    <row r="73" spans="3:6" ht="16.5" customHeight="1">
      <c r="C73" s="228"/>
      <c r="D73" s="228"/>
      <c r="E73" s="228"/>
      <c r="F73" s="228"/>
    </row>
    <row r="74" spans="3:6" ht="16.5" customHeight="1">
      <c r="C74" s="228"/>
      <c r="D74" s="228"/>
      <c r="E74" s="228"/>
      <c r="F74" s="228"/>
    </row>
    <row r="75" spans="3:6" ht="16.5" customHeight="1">
      <c r="C75" s="228"/>
      <c r="D75" s="228"/>
      <c r="E75" s="228"/>
      <c r="F75" s="228"/>
    </row>
    <row r="76" spans="3:6" ht="16.5" customHeight="1">
      <c r="C76" s="228"/>
      <c r="D76" s="228"/>
      <c r="E76" s="228"/>
      <c r="F76" s="228"/>
    </row>
    <row r="77" spans="3:6" ht="16.5" customHeight="1">
      <c r="C77" s="228"/>
      <c r="D77" s="228"/>
      <c r="E77" s="228"/>
      <c r="F77" s="228"/>
    </row>
    <row r="78" spans="3:6" ht="16.5" customHeight="1">
      <c r="C78" s="228"/>
      <c r="D78" s="228"/>
      <c r="E78" s="228"/>
      <c r="F78" s="228"/>
    </row>
    <row r="79" spans="3:6" ht="16.5" customHeight="1">
      <c r="C79" s="228"/>
      <c r="D79" s="228"/>
      <c r="E79" s="228"/>
      <c r="F79" s="228"/>
    </row>
    <row r="80" spans="3:6" ht="16.5" customHeight="1">
      <c r="C80" s="228"/>
      <c r="D80" s="228"/>
      <c r="E80" s="228"/>
      <c r="F80" s="228"/>
    </row>
    <row r="81" spans="3:6" ht="16.5" customHeight="1">
      <c r="C81" s="228"/>
      <c r="D81" s="228"/>
      <c r="E81" s="228"/>
      <c r="F81" s="228"/>
    </row>
    <row r="82" spans="3:6" ht="16.5" customHeight="1">
      <c r="C82" s="228"/>
      <c r="D82" s="228"/>
      <c r="E82" s="228"/>
      <c r="F82" s="228"/>
    </row>
    <row r="83" spans="3:6" ht="16.5" customHeight="1">
      <c r="C83" s="228"/>
      <c r="D83" s="228"/>
      <c r="E83" s="228"/>
      <c r="F83" s="228"/>
    </row>
    <row r="84" spans="3:6" ht="16.5" customHeight="1">
      <c r="C84" s="228"/>
      <c r="D84" s="228"/>
      <c r="E84" s="228"/>
      <c r="F84" s="228"/>
    </row>
    <row r="85" spans="3:6" ht="16.5" customHeight="1">
      <c r="C85" s="228"/>
      <c r="D85" s="228"/>
      <c r="E85" s="228"/>
      <c r="F85" s="228"/>
    </row>
    <row r="86" spans="3:6" ht="16.5" customHeight="1">
      <c r="C86" s="228"/>
      <c r="D86" s="228"/>
      <c r="E86" s="228"/>
      <c r="F86" s="228"/>
    </row>
    <row r="87" spans="3:6" ht="16.5" customHeight="1">
      <c r="C87" s="228"/>
      <c r="D87" s="228"/>
      <c r="E87" s="228"/>
      <c r="F87" s="228"/>
    </row>
    <row r="88" spans="3:6" ht="16.5" customHeight="1">
      <c r="C88" s="228"/>
      <c r="D88" s="228"/>
      <c r="E88" s="228"/>
      <c r="F88" s="228"/>
    </row>
    <row r="89" spans="3:6" ht="16.5" customHeight="1">
      <c r="C89" s="228"/>
      <c r="D89" s="228"/>
      <c r="E89" s="228"/>
      <c r="F89" s="228"/>
    </row>
    <row r="90" spans="3:6" ht="16.5" customHeight="1">
      <c r="C90" s="228"/>
      <c r="D90" s="228"/>
      <c r="E90" s="228"/>
      <c r="F90" s="228"/>
    </row>
    <row r="91" spans="3:6" ht="16.5" customHeight="1"/>
    <row r="92" spans="3:6" ht="16.5" customHeight="1"/>
    <row r="93" spans="3:6" ht="16.5" customHeight="1"/>
    <row r="94" spans="3:6" ht="16.5" customHeight="1"/>
    <row r="95" spans="3:6" ht="16.5" customHeight="1"/>
    <row r="96" spans="3: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33">
    <mergeCell ref="H12:I13"/>
    <mergeCell ref="H14:I14"/>
    <mergeCell ref="H15:I16"/>
    <mergeCell ref="H17:I17"/>
    <mergeCell ref="F15:G16"/>
    <mergeCell ref="F17:G17"/>
    <mergeCell ref="F14:G14"/>
    <mergeCell ref="F6:G7"/>
    <mergeCell ref="F8:G8"/>
    <mergeCell ref="F9:F10"/>
    <mergeCell ref="I9:I10"/>
    <mergeCell ref="H3:I4"/>
    <mergeCell ref="H5:I5"/>
    <mergeCell ref="H6:I7"/>
    <mergeCell ref="H8:I8"/>
    <mergeCell ref="G9:G10"/>
    <mergeCell ref="H9:H10"/>
    <mergeCell ref="B2:G2"/>
    <mergeCell ref="B3:C4"/>
    <mergeCell ref="B5:C5"/>
    <mergeCell ref="H2:I2"/>
    <mergeCell ref="B11:C11"/>
    <mergeCell ref="D9:D10"/>
    <mergeCell ref="E9:E10"/>
    <mergeCell ref="B6:C7"/>
    <mergeCell ref="B8:C8"/>
    <mergeCell ref="B9:C10"/>
    <mergeCell ref="D3:E4"/>
    <mergeCell ref="D5:E5"/>
    <mergeCell ref="D6:E7"/>
    <mergeCell ref="D8:E8"/>
    <mergeCell ref="F3:G4"/>
    <mergeCell ref="F5:G5"/>
  </mergeCells>
  <phoneticPr fontId="27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1AFC3-5074-4414-AFD0-7BA13839F51B}">
  <dimension ref="B1:I1000"/>
  <sheetViews>
    <sheetView tabSelected="1" zoomScale="85" zoomScaleNormal="85" workbookViewId="0">
      <selection activeCell="F15" sqref="F15"/>
    </sheetView>
  </sheetViews>
  <sheetFormatPr defaultColWidth="11.21875" defaultRowHeight="15.75"/>
  <cols>
    <col min="1" max="1" width="7.77734375" style="227" bestFit="1" customWidth="1"/>
    <col min="2" max="2" width="16.109375" style="227" bestFit="1" customWidth="1"/>
    <col min="3" max="3" width="20.6640625" style="227" bestFit="1" customWidth="1"/>
    <col min="4" max="4" width="21" style="227" bestFit="1" customWidth="1"/>
    <col min="5" max="5" width="22.5546875" style="227" bestFit="1" customWidth="1"/>
    <col min="6" max="6" width="12.6640625" style="227" bestFit="1" customWidth="1"/>
    <col min="7" max="7" width="23.6640625" style="227" bestFit="1" customWidth="1"/>
    <col min="8" max="8" width="12.109375" style="227" bestFit="1" customWidth="1"/>
    <col min="9" max="9" width="12.21875" style="227" customWidth="1"/>
    <col min="10" max="10" width="11.44140625" style="227" bestFit="1" customWidth="1"/>
    <col min="11" max="11" width="15" style="227" bestFit="1" customWidth="1"/>
    <col min="12" max="12" width="14" style="227" bestFit="1" customWidth="1"/>
    <col min="13" max="13" width="13.88671875" style="227" bestFit="1" customWidth="1"/>
    <col min="14" max="14" width="13.6640625" style="227" bestFit="1" customWidth="1"/>
    <col min="15" max="25" width="6.77734375" style="227" customWidth="1"/>
    <col min="26" max="16384" width="11.21875" style="227"/>
  </cols>
  <sheetData>
    <row r="1" spans="2:9" ht="16.5" customHeight="1" thickBot="1"/>
    <row r="2" spans="2:9" ht="16.5" customHeight="1">
      <c r="B2" s="363" t="s">
        <v>65</v>
      </c>
      <c r="C2" s="364"/>
      <c r="D2" s="364"/>
      <c r="E2" s="364"/>
      <c r="F2" s="364"/>
      <c r="G2" s="364"/>
      <c r="H2" s="366" t="s">
        <v>66</v>
      </c>
      <c r="I2" s="367"/>
    </row>
    <row r="3" spans="2:9" ht="16.5" customHeight="1">
      <c r="B3" s="365" t="s">
        <v>333</v>
      </c>
      <c r="C3" s="360"/>
      <c r="D3" s="360" t="s">
        <v>334</v>
      </c>
      <c r="E3" s="360"/>
      <c r="F3" s="360" t="s">
        <v>358</v>
      </c>
      <c r="G3" s="360"/>
      <c r="H3" s="358" t="s">
        <v>339</v>
      </c>
      <c r="I3" s="368"/>
    </row>
    <row r="4" spans="2:9" ht="16.5" customHeight="1">
      <c r="B4" s="365"/>
      <c r="C4" s="360"/>
      <c r="D4" s="360"/>
      <c r="E4" s="360"/>
      <c r="F4" s="360"/>
      <c r="G4" s="360"/>
      <c r="H4" s="358"/>
      <c r="I4" s="368"/>
    </row>
    <row r="5" spans="2:9" ht="16.5" customHeight="1">
      <c r="B5" s="378">
        <v>0.02</v>
      </c>
      <c r="C5" s="379"/>
      <c r="D5" s="387">
        <v>100</v>
      </c>
      <c r="E5" s="387"/>
      <c r="F5" s="387">
        <v>8000</v>
      </c>
      <c r="G5" s="387"/>
      <c r="H5" s="388">
        <f>B8*D8*F8</f>
        <v>500</v>
      </c>
      <c r="I5" s="389"/>
    </row>
    <row r="6" spans="2:9" ht="16.5" customHeight="1">
      <c r="B6" s="365" t="s">
        <v>336</v>
      </c>
      <c r="C6" s="360"/>
      <c r="D6" s="360" t="s">
        <v>335</v>
      </c>
      <c r="E6" s="360"/>
      <c r="F6" s="360" t="s">
        <v>337</v>
      </c>
      <c r="G6" s="360"/>
      <c r="H6" s="358" t="s">
        <v>385</v>
      </c>
      <c r="I6" s="358" t="s">
        <v>386</v>
      </c>
    </row>
    <row r="7" spans="2:9" ht="16.5" customHeight="1">
      <c r="B7" s="365"/>
      <c r="C7" s="360"/>
      <c r="D7" s="360"/>
      <c r="E7" s="360"/>
      <c r="F7" s="360"/>
      <c r="G7" s="360"/>
      <c r="H7" s="358"/>
      <c r="I7" s="358"/>
    </row>
    <row r="8" spans="2:9" ht="20.25">
      <c r="B8" s="378">
        <v>10</v>
      </c>
      <c r="C8" s="379"/>
      <c r="D8" s="387">
        <v>10</v>
      </c>
      <c r="E8" s="387"/>
      <c r="F8" s="387">
        <v>5</v>
      </c>
      <c r="G8" s="387"/>
      <c r="H8" s="297">
        <f>0.61078*EXP(17.269*$D$11/(237.3+$D$11))</f>
        <v>3.1673720930966622</v>
      </c>
      <c r="I8" s="298">
        <f>0.61078*EXP(17.269*$F$11/(237.3+$F$11))</f>
        <v>0.87226439758614394</v>
      </c>
    </row>
    <row r="9" spans="2:9" ht="16.5" customHeight="1">
      <c r="B9" s="365" t="s">
        <v>340</v>
      </c>
      <c r="C9" s="360"/>
      <c r="D9" s="386" t="s">
        <v>360</v>
      </c>
      <c r="E9" s="386" t="s">
        <v>350</v>
      </c>
      <c r="F9" s="386" t="s">
        <v>361</v>
      </c>
      <c r="G9" s="386" t="s">
        <v>351</v>
      </c>
      <c r="H9" s="358" t="s">
        <v>383</v>
      </c>
      <c r="I9" s="358" t="s">
        <v>384</v>
      </c>
    </row>
    <row r="10" spans="2:9" ht="16.5" customHeight="1">
      <c r="B10" s="365"/>
      <c r="C10" s="360"/>
      <c r="D10" s="386"/>
      <c r="E10" s="386"/>
      <c r="F10" s="386"/>
      <c r="G10" s="386"/>
      <c r="H10" s="358"/>
      <c r="I10" s="358"/>
    </row>
    <row r="11" spans="2:9" ht="16.5" customHeight="1" thickBot="1">
      <c r="B11" s="384">
        <v>0.02</v>
      </c>
      <c r="C11" s="385"/>
      <c r="D11" s="259">
        <v>25</v>
      </c>
      <c r="E11" s="266">
        <v>0.8</v>
      </c>
      <c r="F11" s="259">
        <v>5</v>
      </c>
      <c r="G11" s="266">
        <v>0.4</v>
      </c>
      <c r="H11" s="297">
        <f>H8*E11</f>
        <v>2.5338976744773301</v>
      </c>
      <c r="I11" s="298">
        <f>I8*G11</f>
        <v>0.34890575903445759</v>
      </c>
    </row>
    <row r="12" spans="2:9" ht="16.5" customHeight="1">
      <c r="B12" s="258"/>
      <c r="C12" s="258"/>
      <c r="D12" s="258"/>
      <c r="E12" s="258"/>
      <c r="F12" s="258"/>
      <c r="G12" s="258"/>
      <c r="H12" s="358" t="s">
        <v>379</v>
      </c>
      <c r="I12" s="358" t="s">
        <v>380</v>
      </c>
    </row>
    <row r="13" spans="2:9" ht="16.5" customHeight="1">
      <c r="C13" s="265"/>
      <c r="G13" s="258"/>
      <c r="H13" s="358"/>
      <c r="I13" s="358"/>
    </row>
    <row r="14" spans="2:9" ht="16.5" customHeight="1">
      <c r="H14" s="299">
        <f>0.62198*$H$11/($C$19-$H$11)</f>
        <v>1.5953194553678357E-2</v>
      </c>
      <c r="I14" s="299">
        <f>0.62198*$I$11/($C$19-$I$11)</f>
        <v>2.1491463463261086E-3</v>
      </c>
    </row>
    <row r="15" spans="2:9" ht="16.5" customHeight="1">
      <c r="D15" s="257"/>
      <c r="E15" s="257"/>
      <c r="H15" s="358" t="s">
        <v>381</v>
      </c>
      <c r="I15" s="358" t="s">
        <v>382</v>
      </c>
    </row>
    <row r="16" spans="2:9" ht="16.5" customHeight="1">
      <c r="H16" s="358"/>
      <c r="I16" s="358"/>
    </row>
    <row r="17" spans="2:9" ht="16.5" customHeight="1">
      <c r="H17" s="297">
        <f>1.006*$D$11 +$H$14*(2501+1.805*$D$11)</f>
        <v>65.768827482984307</v>
      </c>
      <c r="I17" s="297">
        <f>1.006*$F$11 +$I$14*(2501+1.805*$F$11)</f>
        <v>10.424411057937192</v>
      </c>
    </row>
    <row r="18" spans="2:9" ht="16.5" customHeight="1">
      <c r="H18" s="404" t="s">
        <v>391</v>
      </c>
      <c r="I18" s="405"/>
    </row>
    <row r="19" spans="2:9" ht="16.5" customHeight="1">
      <c r="B19" s="256" t="s">
        <v>387</v>
      </c>
      <c r="C19" s="227">
        <v>101.325</v>
      </c>
      <c r="D19" s="256" t="s">
        <v>362</v>
      </c>
      <c r="E19" s="227" t="s">
        <v>363</v>
      </c>
      <c r="F19" s="227" t="s">
        <v>364</v>
      </c>
      <c r="G19" s="256" t="s">
        <v>365</v>
      </c>
      <c r="H19" s="406"/>
      <c r="I19" s="407"/>
    </row>
    <row r="20" spans="2:9" ht="16.5" customHeight="1">
      <c r="B20" s="256" t="s">
        <v>392</v>
      </c>
      <c r="C20" s="227">
        <v>2266</v>
      </c>
      <c r="D20" s="244">
        <f>(2166/(273.16+$D$11))*$H$8*$E$11*1000</f>
        <v>18407.641410376629</v>
      </c>
      <c r="E20" s="265">
        <f>3.48*101.3/(D11+273)</f>
        <v>1.1829664429530202</v>
      </c>
      <c r="F20" s="265">
        <f>3.48*101.3*(1-0.378*E11*D20/1000/101.3)/(273+D11)</f>
        <v>1.1179620192835815</v>
      </c>
      <c r="G20" s="229">
        <f>($C$20*1000)*(D20/1000000)/F20</f>
        <v>37310.494199653913</v>
      </c>
      <c r="H20" s="402">
        <f>(H17-I17)*E20*H5*B5/3.6</f>
        <v>181.86274287680195</v>
      </c>
      <c r="I20" s="403"/>
    </row>
    <row r="21" spans="2:9" ht="16.5" customHeight="1">
      <c r="B21" s="256" t="s">
        <v>388</v>
      </c>
      <c r="C21" s="228">
        <v>0.1</v>
      </c>
      <c r="D21" s="244">
        <f>(2166/(273.16+$F$11))*$I$8*$G$11*1000</f>
        <v>2716.8891072355304</v>
      </c>
      <c r="E21" s="265">
        <f>3.48*101.3/(F11+273)</f>
        <v>1.2680719424460432</v>
      </c>
      <c r="F21" s="265">
        <f>3.48*101.3*(1-0.378*E11*D21/1000/101.3)/(273+D11)</f>
        <v>1.1733720681685318</v>
      </c>
      <c r="G21" s="229">
        <f>($C$20*1000)*(D21/1000000)/F21</f>
        <v>5246.8188769868148</v>
      </c>
      <c r="H21" s="409" t="s">
        <v>390</v>
      </c>
      <c r="I21" s="405"/>
    </row>
    <row r="22" spans="2:9" ht="16.5" customHeight="1">
      <c r="B22" s="227" t="s">
        <v>393</v>
      </c>
      <c r="C22" s="227">
        <v>1030</v>
      </c>
      <c r="H22" s="406"/>
      <c r="I22" s="407"/>
    </row>
    <row r="23" spans="2:9" ht="16.5" customHeight="1">
      <c r="B23" s="256"/>
      <c r="H23" s="402">
        <f>(D11-F11)*C21*(B8*D8*2+D8*F8*2+B8*F8*2)</f>
        <v>800</v>
      </c>
      <c r="I23" s="403"/>
    </row>
    <row r="24" spans="2:9" ht="16.5" customHeight="1">
      <c r="B24" s="257" t="s">
        <v>394</v>
      </c>
      <c r="C24" s="227">
        <f>5.6704*10^-8</f>
        <v>5.6704000000000003E-8</v>
      </c>
      <c r="D24" s="227">
        <f>C24*(D11+273)^4</f>
        <v>447.176273188864</v>
      </c>
      <c r="H24" s="404" t="s">
        <v>389</v>
      </c>
      <c r="I24" s="405"/>
    </row>
    <row r="25" spans="2:9" ht="16.5" customHeight="1">
      <c r="B25" s="257"/>
      <c r="H25" s="406"/>
      <c r="I25" s="407"/>
    </row>
    <row r="26" spans="2:9" ht="16.5" customHeight="1">
      <c r="C26" s="228"/>
      <c r="D26" s="228"/>
      <c r="E26" s="228"/>
      <c r="F26" s="228"/>
      <c r="H26" s="410">
        <f>F5-H23-H20</f>
        <v>7018.1372571231977</v>
      </c>
      <c r="I26" s="411"/>
    </row>
    <row r="27" spans="2:9" ht="16.5" customHeight="1">
      <c r="B27" s="256"/>
      <c r="C27" s="256"/>
    </row>
    <row r="28" spans="2:9" ht="16.5" customHeight="1">
      <c r="B28" s="256"/>
      <c r="C28" s="269"/>
    </row>
    <row r="29" spans="2:9" ht="16.5" customHeight="1">
      <c r="B29" s="256"/>
      <c r="C29" s="269"/>
    </row>
    <row r="30" spans="2:9" ht="16.5" customHeight="1">
      <c r="C30" s="228"/>
      <c r="D30" s="228"/>
      <c r="E30" s="228"/>
      <c r="F30" s="228"/>
    </row>
    <row r="31" spans="2:9" ht="16.5" customHeight="1">
      <c r="C31" s="228"/>
      <c r="D31" s="228"/>
      <c r="E31" s="228"/>
      <c r="F31" s="228"/>
    </row>
    <row r="32" spans="2:9" ht="16.5" customHeight="1">
      <c r="C32" s="228"/>
      <c r="D32" s="228"/>
      <c r="E32" s="228"/>
      <c r="F32" s="228"/>
    </row>
    <row r="33" spans="3:6" ht="16.5" customHeight="1">
      <c r="C33" s="228"/>
      <c r="D33" s="228"/>
      <c r="E33" s="228"/>
      <c r="F33" s="228"/>
    </row>
    <row r="34" spans="3:6" ht="16.5" customHeight="1">
      <c r="C34" s="228"/>
      <c r="D34" s="228"/>
      <c r="E34" s="228"/>
      <c r="F34" s="228"/>
    </row>
    <row r="35" spans="3:6" ht="16.5" customHeight="1">
      <c r="C35" s="228"/>
      <c r="D35" s="228"/>
      <c r="E35" s="228"/>
      <c r="F35" s="228"/>
    </row>
    <row r="36" spans="3:6" ht="16.5" customHeight="1">
      <c r="C36" s="228"/>
      <c r="D36" s="228"/>
      <c r="E36" s="228"/>
      <c r="F36" s="228"/>
    </row>
    <row r="37" spans="3:6" ht="16.5" customHeight="1">
      <c r="C37" s="228"/>
      <c r="D37" s="228"/>
      <c r="E37" s="228"/>
      <c r="F37" s="228"/>
    </row>
    <row r="38" spans="3:6" ht="16.5" customHeight="1">
      <c r="C38" s="228"/>
      <c r="D38" s="228"/>
      <c r="E38" s="228"/>
      <c r="F38" s="228"/>
    </row>
    <row r="39" spans="3:6" ht="16.5" customHeight="1">
      <c r="C39" s="228"/>
      <c r="D39" s="228"/>
      <c r="E39" s="228"/>
      <c r="F39" s="228"/>
    </row>
    <row r="40" spans="3:6" ht="16.5" customHeight="1">
      <c r="C40" s="228"/>
      <c r="D40" s="228"/>
      <c r="E40" s="228"/>
      <c r="F40" s="228"/>
    </row>
    <row r="41" spans="3:6" ht="16.5" customHeight="1">
      <c r="C41" s="228"/>
      <c r="D41" s="228"/>
      <c r="E41" s="228"/>
      <c r="F41" s="228"/>
    </row>
    <row r="42" spans="3:6" ht="16.5" customHeight="1">
      <c r="C42" s="228"/>
      <c r="D42" s="228"/>
      <c r="E42" s="228"/>
      <c r="F42" s="228"/>
    </row>
    <row r="43" spans="3:6" ht="16.5" customHeight="1">
      <c r="C43" s="228"/>
      <c r="D43" s="228"/>
      <c r="E43" s="228"/>
      <c r="F43" s="228"/>
    </row>
    <row r="44" spans="3:6" ht="16.5" customHeight="1">
      <c r="C44" s="228"/>
      <c r="D44" s="228"/>
      <c r="E44" s="228"/>
      <c r="F44" s="228"/>
    </row>
    <row r="45" spans="3:6" ht="16.5" customHeight="1">
      <c r="C45" s="228"/>
      <c r="D45" s="228"/>
      <c r="E45" s="228"/>
      <c r="F45" s="228"/>
    </row>
    <row r="46" spans="3:6" ht="16.5" customHeight="1">
      <c r="C46" s="228"/>
      <c r="D46" s="228"/>
      <c r="E46" s="228"/>
      <c r="F46" s="228"/>
    </row>
    <row r="47" spans="3:6" ht="16.5" customHeight="1">
      <c r="C47" s="228"/>
      <c r="D47" s="228"/>
      <c r="E47" s="228"/>
      <c r="F47" s="228"/>
    </row>
    <row r="48" spans="3:6" ht="16.5" customHeight="1">
      <c r="C48" s="228"/>
      <c r="D48" s="228"/>
      <c r="E48" s="228"/>
      <c r="F48" s="228"/>
    </row>
    <row r="49" spans="3:6" ht="16.5" customHeight="1">
      <c r="C49" s="228"/>
      <c r="D49" s="228"/>
      <c r="E49" s="228"/>
      <c r="F49" s="228"/>
    </row>
    <row r="50" spans="3:6" ht="16.5" customHeight="1">
      <c r="C50" s="228"/>
      <c r="D50" s="228"/>
      <c r="E50" s="228"/>
      <c r="F50" s="228"/>
    </row>
    <row r="51" spans="3:6" ht="16.5" customHeight="1">
      <c r="C51" s="228"/>
      <c r="D51" s="228"/>
      <c r="E51" s="228"/>
      <c r="F51" s="228"/>
    </row>
    <row r="52" spans="3:6" ht="16.5" customHeight="1">
      <c r="C52" s="228"/>
      <c r="D52" s="228"/>
      <c r="E52" s="228"/>
      <c r="F52" s="228"/>
    </row>
    <row r="53" spans="3:6" ht="16.5" customHeight="1">
      <c r="C53" s="228"/>
      <c r="D53" s="228"/>
      <c r="E53" s="228"/>
      <c r="F53" s="228"/>
    </row>
    <row r="54" spans="3:6" ht="16.5" customHeight="1">
      <c r="C54" s="228"/>
      <c r="D54" s="228"/>
      <c r="E54" s="228"/>
      <c r="F54" s="228"/>
    </row>
    <row r="55" spans="3:6" ht="16.5" customHeight="1">
      <c r="C55" s="228"/>
      <c r="D55" s="228"/>
      <c r="E55" s="228"/>
      <c r="F55" s="228"/>
    </row>
    <row r="56" spans="3:6" ht="16.5" customHeight="1">
      <c r="C56" s="228"/>
      <c r="D56" s="228"/>
      <c r="E56" s="228"/>
      <c r="F56" s="228"/>
    </row>
    <row r="57" spans="3:6" ht="16.5" customHeight="1">
      <c r="C57" s="228"/>
      <c r="D57" s="228"/>
      <c r="E57" s="228"/>
      <c r="F57" s="228"/>
    </row>
    <row r="58" spans="3:6" ht="16.5" customHeight="1">
      <c r="C58" s="228"/>
      <c r="D58" s="228"/>
      <c r="E58" s="228"/>
      <c r="F58" s="228"/>
    </row>
    <row r="59" spans="3:6" ht="16.5" customHeight="1">
      <c r="C59" s="228"/>
      <c r="D59" s="228"/>
      <c r="E59" s="228"/>
      <c r="F59" s="228"/>
    </row>
    <row r="60" spans="3:6" ht="16.5" customHeight="1">
      <c r="C60" s="228"/>
      <c r="D60" s="228"/>
      <c r="E60" s="228"/>
      <c r="F60" s="228"/>
    </row>
    <row r="61" spans="3:6" ht="16.5" customHeight="1">
      <c r="C61" s="228"/>
      <c r="D61" s="228"/>
      <c r="E61" s="228"/>
      <c r="F61" s="228"/>
    </row>
    <row r="62" spans="3:6" ht="16.5" customHeight="1">
      <c r="C62" s="228"/>
      <c r="D62" s="228"/>
      <c r="E62" s="228"/>
      <c r="F62" s="228"/>
    </row>
    <row r="63" spans="3:6" ht="16.5" customHeight="1">
      <c r="C63" s="228"/>
      <c r="D63" s="228"/>
      <c r="E63" s="228"/>
      <c r="F63" s="228"/>
    </row>
    <row r="64" spans="3:6" ht="16.5" customHeight="1">
      <c r="C64" s="228"/>
      <c r="D64" s="228"/>
      <c r="E64" s="228"/>
      <c r="F64" s="228"/>
    </row>
    <row r="65" spans="3:6" ht="16.5" customHeight="1">
      <c r="C65" s="228"/>
      <c r="D65" s="228"/>
      <c r="E65" s="228"/>
      <c r="F65" s="228"/>
    </row>
    <row r="66" spans="3:6" ht="16.5" customHeight="1">
      <c r="C66" s="228"/>
      <c r="D66" s="228"/>
      <c r="E66" s="228"/>
      <c r="F66" s="228"/>
    </row>
    <row r="67" spans="3:6" ht="16.5" customHeight="1">
      <c r="C67" s="228"/>
      <c r="D67" s="228"/>
      <c r="E67" s="228"/>
      <c r="F67" s="228"/>
    </row>
    <row r="68" spans="3:6" ht="16.5" customHeight="1">
      <c r="C68" s="228"/>
      <c r="D68" s="228"/>
      <c r="E68" s="228"/>
      <c r="F68" s="228"/>
    </row>
    <row r="69" spans="3:6" ht="16.5" customHeight="1">
      <c r="C69" s="228"/>
      <c r="D69" s="228"/>
      <c r="E69" s="228"/>
      <c r="F69" s="228"/>
    </row>
    <row r="70" spans="3:6" ht="16.5" customHeight="1">
      <c r="C70" s="228"/>
      <c r="D70" s="228"/>
      <c r="E70" s="228"/>
      <c r="F70" s="228"/>
    </row>
    <row r="71" spans="3:6" ht="16.5" customHeight="1">
      <c r="C71" s="228"/>
      <c r="D71" s="228"/>
      <c r="E71" s="228"/>
      <c r="F71" s="228"/>
    </row>
    <row r="72" spans="3:6" ht="16.5" customHeight="1">
      <c r="C72" s="228"/>
      <c r="D72" s="228"/>
      <c r="E72" s="228"/>
      <c r="F72" s="228"/>
    </row>
    <row r="73" spans="3:6" ht="16.5" customHeight="1">
      <c r="C73" s="228"/>
      <c r="D73" s="228"/>
      <c r="E73" s="228"/>
      <c r="F73" s="228"/>
    </row>
    <row r="74" spans="3:6" ht="16.5" customHeight="1">
      <c r="C74" s="228"/>
      <c r="D74" s="228"/>
      <c r="E74" s="228"/>
      <c r="F74" s="228"/>
    </row>
    <row r="75" spans="3:6" ht="16.5" customHeight="1">
      <c r="C75" s="228"/>
      <c r="D75" s="228"/>
      <c r="E75" s="228"/>
      <c r="F75" s="228"/>
    </row>
    <row r="76" spans="3:6" ht="16.5" customHeight="1">
      <c r="C76" s="228"/>
      <c r="D76" s="228"/>
      <c r="E76" s="228"/>
      <c r="F76" s="228"/>
    </row>
    <row r="77" spans="3:6" ht="16.5" customHeight="1">
      <c r="C77" s="228"/>
      <c r="D77" s="228"/>
      <c r="E77" s="228"/>
      <c r="F77" s="228"/>
    </row>
    <row r="78" spans="3:6" ht="16.5" customHeight="1">
      <c r="C78" s="228"/>
      <c r="D78" s="228"/>
      <c r="E78" s="228"/>
      <c r="F78" s="228"/>
    </row>
    <row r="79" spans="3:6" ht="16.5" customHeight="1">
      <c r="C79" s="228"/>
      <c r="D79" s="228"/>
      <c r="E79" s="228"/>
      <c r="F79" s="228"/>
    </row>
    <row r="80" spans="3:6" ht="16.5" customHeight="1">
      <c r="C80" s="228"/>
      <c r="D80" s="228"/>
      <c r="E80" s="228"/>
      <c r="F80" s="228"/>
    </row>
    <row r="81" spans="3:6" ht="16.5" customHeight="1">
      <c r="C81" s="228"/>
      <c r="D81" s="228"/>
      <c r="E81" s="228"/>
      <c r="F81" s="228"/>
    </row>
    <row r="82" spans="3:6" ht="16.5" customHeight="1">
      <c r="C82" s="228"/>
      <c r="D82" s="228"/>
      <c r="E82" s="228"/>
      <c r="F82" s="228"/>
    </row>
    <row r="83" spans="3:6" ht="16.5" customHeight="1">
      <c r="C83" s="228"/>
      <c r="D83" s="228"/>
      <c r="E83" s="228"/>
      <c r="F83" s="228"/>
    </row>
    <row r="84" spans="3:6" ht="16.5" customHeight="1">
      <c r="C84" s="228"/>
      <c r="D84" s="228"/>
      <c r="E84" s="228"/>
      <c r="F84" s="228"/>
    </row>
    <row r="85" spans="3:6" ht="16.5" customHeight="1">
      <c r="C85" s="228"/>
      <c r="D85" s="228"/>
      <c r="E85" s="228"/>
      <c r="F85" s="228"/>
    </row>
    <row r="86" spans="3:6" ht="16.5" customHeight="1">
      <c r="C86" s="228"/>
      <c r="D86" s="228"/>
      <c r="E86" s="228"/>
      <c r="F86" s="228"/>
    </row>
    <row r="87" spans="3:6" ht="16.5" customHeight="1">
      <c r="C87" s="228"/>
      <c r="D87" s="228"/>
      <c r="E87" s="228"/>
      <c r="F87" s="228"/>
    </row>
    <row r="88" spans="3:6" ht="16.5" customHeight="1">
      <c r="C88" s="228"/>
      <c r="D88" s="228"/>
      <c r="E88" s="228"/>
      <c r="F88" s="228"/>
    </row>
    <row r="89" spans="3:6" ht="16.5" customHeight="1">
      <c r="C89" s="228"/>
      <c r="D89" s="228"/>
      <c r="E89" s="228"/>
      <c r="F89" s="228"/>
    </row>
    <row r="90" spans="3:6" ht="16.5" customHeight="1">
      <c r="C90" s="228"/>
      <c r="D90" s="228"/>
      <c r="E90" s="228"/>
      <c r="F90" s="228"/>
    </row>
    <row r="91" spans="3:6" ht="16.5" customHeight="1"/>
    <row r="92" spans="3:6" ht="16.5" customHeight="1"/>
    <row r="93" spans="3:6" ht="16.5" customHeight="1"/>
    <row r="94" spans="3:6" ht="16.5" customHeight="1"/>
    <row r="95" spans="3:6" ht="16.5" customHeight="1"/>
    <row r="96" spans="3: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36">
    <mergeCell ref="I12:I13"/>
    <mergeCell ref="H15:H16"/>
    <mergeCell ref="I15:I16"/>
    <mergeCell ref="B11:C11"/>
    <mergeCell ref="B8:C8"/>
    <mergeCell ref="D8:E8"/>
    <mergeCell ref="F8:G8"/>
    <mergeCell ref="H12:H13"/>
    <mergeCell ref="H5:I5"/>
    <mergeCell ref="B9:C10"/>
    <mergeCell ref="D9:D10"/>
    <mergeCell ref="E9:E10"/>
    <mergeCell ref="F9:F10"/>
    <mergeCell ref="G9:G10"/>
    <mergeCell ref="H9:H10"/>
    <mergeCell ref="B5:C5"/>
    <mergeCell ref="D5:E5"/>
    <mergeCell ref="F5:G5"/>
    <mergeCell ref="B6:C7"/>
    <mergeCell ref="D6:E7"/>
    <mergeCell ref="F6:G7"/>
    <mergeCell ref="H6:H7"/>
    <mergeCell ref="I6:I7"/>
    <mergeCell ref="I9:I10"/>
    <mergeCell ref="H3:I4"/>
    <mergeCell ref="B2:G2"/>
    <mergeCell ref="H2:I2"/>
    <mergeCell ref="B3:C4"/>
    <mergeCell ref="D3:E4"/>
    <mergeCell ref="F3:G4"/>
    <mergeCell ref="H23:I23"/>
    <mergeCell ref="H24:I25"/>
    <mergeCell ref="H26:I26"/>
    <mergeCell ref="H18:I19"/>
    <mergeCell ref="H20:I20"/>
    <mergeCell ref="H21:I22"/>
  </mergeCells>
  <phoneticPr fontId="27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1000"/>
  <sheetViews>
    <sheetView workbookViewId="0">
      <selection activeCell="B17" sqref="B17"/>
    </sheetView>
  </sheetViews>
  <sheetFormatPr defaultColWidth="11.21875" defaultRowHeight="15" customHeight="1"/>
  <cols>
    <col min="1" max="1" width="6.77734375" customWidth="1"/>
    <col min="2" max="2" width="14.88671875" customWidth="1"/>
    <col min="3" max="3" width="9.6640625" customWidth="1"/>
    <col min="4" max="4" width="8" customWidth="1"/>
    <col min="5" max="5" width="13" customWidth="1"/>
    <col min="6" max="6" width="19.77734375" customWidth="1"/>
    <col min="7" max="7" width="11.21875" customWidth="1"/>
    <col min="8" max="8" width="9.77734375" customWidth="1"/>
    <col min="9" max="25" width="6.77734375" customWidth="1"/>
  </cols>
  <sheetData>
    <row r="1" spans="2:10" ht="16.5" customHeight="1" thickBot="1"/>
    <row r="2" spans="2:10" ht="16.5" customHeight="1">
      <c r="B2" s="312" t="s">
        <v>6</v>
      </c>
      <c r="C2" s="314" t="s">
        <v>7</v>
      </c>
      <c r="D2" s="315"/>
      <c r="E2" s="316"/>
      <c r="H2" s="317" t="s">
        <v>8</v>
      </c>
      <c r="I2" s="318"/>
      <c r="J2" s="318"/>
    </row>
    <row r="3" spans="2:10" ht="16.5" customHeight="1">
      <c r="B3" s="313"/>
      <c r="C3" s="319" t="s">
        <v>9</v>
      </c>
      <c r="D3" s="319" t="s">
        <v>10</v>
      </c>
      <c r="E3" s="321" t="s">
        <v>377</v>
      </c>
      <c r="F3" s="4"/>
      <c r="G3" s="1" t="s">
        <v>9</v>
      </c>
      <c r="H3" s="4" t="s">
        <v>11</v>
      </c>
      <c r="I3" s="4" t="s">
        <v>12</v>
      </c>
      <c r="J3" s="4" t="s">
        <v>13</v>
      </c>
    </row>
    <row r="4" spans="2:10" ht="30" customHeight="1">
      <c r="B4" s="280" t="s">
        <v>14</v>
      </c>
      <c r="C4" s="320"/>
      <c r="D4" s="320"/>
      <c r="E4" s="320"/>
      <c r="F4" s="4"/>
      <c r="G4" s="1">
        <v>0</v>
      </c>
      <c r="H4" s="3">
        <f>IF($G$4&lt;=80,(200-1200)/80*$G$4+1200,200)</f>
        <v>1200</v>
      </c>
      <c r="I4" s="3">
        <f t="shared" ref="I4:I28" si="0">IF(G4&lt;=80,(300-1400)/80*G4+1400,300)</f>
        <v>1400</v>
      </c>
      <c r="J4" s="3">
        <f t="shared" ref="J4:J28" si="1">IF(G4&lt;=80,(100-1000)/80*G4+1000,100)</f>
        <v>1000</v>
      </c>
    </row>
    <row r="5" spans="2:10" ht="16.5" customHeight="1">
      <c r="B5" s="322">
        <v>1827</v>
      </c>
      <c r="C5" s="309">
        <f>B5*0.219</f>
        <v>400.113</v>
      </c>
      <c r="D5" s="309" t="s">
        <v>12</v>
      </c>
      <c r="E5" s="325">
        <f>_xlfn.IFS(D5="high",IF(C5&lt;=80,(300-1400)/80*C5+1400,300),D5="std.",IF(C5&lt;=80,(200-1200)/80*C5+1200,200),D5="low",IF(C5&lt;=80,(100-1000)/80*C5+1000,100))</f>
        <v>300</v>
      </c>
      <c r="F5" s="3"/>
      <c r="G5" s="1">
        <v>5</v>
      </c>
      <c r="H5" s="3">
        <f t="shared" ref="H5:H28" si="2">IF(G5&lt;=80,(200-1200)/80*G5+1200,200)</f>
        <v>1137.5</v>
      </c>
      <c r="I5" s="3">
        <f t="shared" si="0"/>
        <v>1331.25</v>
      </c>
      <c r="J5" s="3">
        <f t="shared" si="1"/>
        <v>943.75</v>
      </c>
    </row>
    <row r="6" spans="2:10" ht="16.5" customHeight="1">
      <c r="B6" s="323"/>
      <c r="C6" s="310"/>
      <c r="D6" s="310"/>
      <c r="E6" s="326"/>
      <c r="F6" s="5"/>
      <c r="G6" s="1">
        <v>10</v>
      </c>
      <c r="H6" s="3">
        <f t="shared" si="2"/>
        <v>1075</v>
      </c>
      <c r="I6" s="3">
        <f t="shared" si="0"/>
        <v>1262.5</v>
      </c>
      <c r="J6" s="3">
        <f t="shared" si="1"/>
        <v>887.5</v>
      </c>
    </row>
    <row r="7" spans="2:10" ht="16.5" customHeight="1" thickBot="1">
      <c r="B7" s="324"/>
      <c r="C7" s="311"/>
      <c r="D7" s="311"/>
      <c r="E7" s="327"/>
      <c r="F7" s="5"/>
      <c r="G7" s="1">
        <v>15</v>
      </c>
      <c r="H7" s="3">
        <f t="shared" si="2"/>
        <v>1012.5</v>
      </c>
      <c r="I7" s="3">
        <f t="shared" si="0"/>
        <v>1193.75</v>
      </c>
      <c r="J7" s="3">
        <f t="shared" si="1"/>
        <v>831.25</v>
      </c>
    </row>
    <row r="8" spans="2:10" ht="16.5" customHeight="1">
      <c r="G8" s="1">
        <v>20</v>
      </c>
      <c r="H8" s="3">
        <f t="shared" si="2"/>
        <v>950</v>
      </c>
      <c r="I8" s="3">
        <f t="shared" si="0"/>
        <v>1125</v>
      </c>
      <c r="J8" s="3">
        <f t="shared" si="1"/>
        <v>775</v>
      </c>
    </row>
    <row r="9" spans="2:10" ht="16.5" customHeight="1">
      <c r="E9" s="289" t="s">
        <v>378</v>
      </c>
      <c r="G9" s="1">
        <v>25</v>
      </c>
      <c r="H9" s="3">
        <f t="shared" si="2"/>
        <v>887.5</v>
      </c>
      <c r="I9" s="3">
        <f t="shared" si="0"/>
        <v>1056.25</v>
      </c>
      <c r="J9" s="3">
        <f t="shared" si="1"/>
        <v>718.75</v>
      </c>
    </row>
    <row r="10" spans="2:10" ht="16.5" customHeight="1">
      <c r="E10" s="1">
        <f>E5*1.4</f>
        <v>420</v>
      </c>
      <c r="G10" s="1">
        <v>30</v>
      </c>
      <c r="H10" s="3">
        <f t="shared" si="2"/>
        <v>825</v>
      </c>
      <c r="I10" s="3">
        <f t="shared" si="0"/>
        <v>987.5</v>
      </c>
      <c r="J10" s="3">
        <f t="shared" si="1"/>
        <v>662.5</v>
      </c>
    </row>
    <row r="11" spans="2:10" ht="16.5" customHeight="1">
      <c r="G11" s="1">
        <v>35</v>
      </c>
      <c r="H11" s="3">
        <f t="shared" si="2"/>
        <v>762.5</v>
      </c>
      <c r="I11" s="3">
        <f t="shared" si="0"/>
        <v>918.75</v>
      </c>
      <c r="J11" s="3">
        <f t="shared" si="1"/>
        <v>606.25</v>
      </c>
    </row>
    <row r="12" spans="2:10" ht="16.5" customHeight="1">
      <c r="G12" s="1">
        <v>40</v>
      </c>
      <c r="H12" s="3">
        <f t="shared" si="2"/>
        <v>700</v>
      </c>
      <c r="I12" s="3">
        <f t="shared" si="0"/>
        <v>850</v>
      </c>
      <c r="J12" s="3">
        <f t="shared" si="1"/>
        <v>550</v>
      </c>
    </row>
    <row r="13" spans="2:10" ht="16.5" customHeight="1" thickBot="1">
      <c r="B13" s="1" t="s">
        <v>15</v>
      </c>
      <c r="G13" s="1">
        <v>45</v>
      </c>
      <c r="H13" s="3">
        <f t="shared" si="2"/>
        <v>637.5</v>
      </c>
      <c r="I13" s="3">
        <f t="shared" si="0"/>
        <v>781.25</v>
      </c>
      <c r="J13" s="3">
        <f t="shared" si="1"/>
        <v>493.75</v>
      </c>
    </row>
    <row r="14" spans="2:10" ht="20.100000000000001" customHeight="1">
      <c r="B14" s="281" t="s">
        <v>9</v>
      </c>
      <c r="C14" s="282"/>
      <c r="D14" s="283" t="s">
        <v>16</v>
      </c>
      <c r="E14" s="284"/>
      <c r="G14" s="1">
        <v>50</v>
      </c>
      <c r="H14" s="3">
        <f t="shared" si="2"/>
        <v>575</v>
      </c>
      <c r="I14" s="3">
        <f t="shared" si="0"/>
        <v>712.5</v>
      </c>
      <c r="J14" s="3">
        <f t="shared" si="1"/>
        <v>437.5</v>
      </c>
    </row>
    <row r="15" spans="2:10" ht="16.5" customHeight="1" thickBot="1">
      <c r="B15" s="285">
        <v>400</v>
      </c>
      <c r="C15" s="286"/>
      <c r="D15" s="287">
        <f>B15*4.57</f>
        <v>1828</v>
      </c>
      <c r="E15" s="288"/>
      <c r="G15" s="1">
        <v>55</v>
      </c>
      <c r="H15" s="3">
        <f t="shared" si="2"/>
        <v>512.5</v>
      </c>
      <c r="I15" s="3">
        <f t="shared" si="0"/>
        <v>643.75</v>
      </c>
      <c r="J15" s="3">
        <f t="shared" si="1"/>
        <v>381.25</v>
      </c>
    </row>
    <row r="16" spans="2:10" ht="16.5" customHeight="1">
      <c r="G16" s="1">
        <v>60</v>
      </c>
      <c r="H16" s="3">
        <f t="shared" si="2"/>
        <v>450</v>
      </c>
      <c r="I16" s="3">
        <f t="shared" si="0"/>
        <v>575</v>
      </c>
      <c r="J16" s="3">
        <f t="shared" si="1"/>
        <v>325</v>
      </c>
    </row>
    <row r="17" spans="2:10" ht="16.5" customHeight="1">
      <c r="G17" s="1">
        <v>65</v>
      </c>
      <c r="H17" s="3">
        <f t="shared" si="2"/>
        <v>387.5</v>
      </c>
      <c r="I17" s="3">
        <f t="shared" si="0"/>
        <v>506.25</v>
      </c>
      <c r="J17" s="3">
        <f t="shared" si="1"/>
        <v>268.75</v>
      </c>
    </row>
    <row r="18" spans="2:10" ht="16.5" customHeight="1">
      <c r="G18" s="1">
        <v>70</v>
      </c>
      <c r="H18" s="3">
        <f t="shared" si="2"/>
        <v>325</v>
      </c>
      <c r="I18" s="3">
        <f t="shared" si="0"/>
        <v>437.5</v>
      </c>
      <c r="J18" s="3">
        <f t="shared" si="1"/>
        <v>212.5</v>
      </c>
    </row>
    <row r="19" spans="2:10" ht="16.5" customHeight="1">
      <c r="G19" s="1">
        <v>75</v>
      </c>
      <c r="H19" s="3">
        <f t="shared" si="2"/>
        <v>262.5</v>
      </c>
      <c r="I19" s="3">
        <f t="shared" si="0"/>
        <v>368.75</v>
      </c>
      <c r="J19" s="3">
        <f t="shared" si="1"/>
        <v>156.25</v>
      </c>
    </row>
    <row r="20" spans="2:10" ht="16.5" customHeight="1">
      <c r="G20" s="1">
        <v>80</v>
      </c>
      <c r="H20" s="3">
        <f t="shared" si="2"/>
        <v>200</v>
      </c>
      <c r="I20" s="3">
        <f t="shared" si="0"/>
        <v>300</v>
      </c>
      <c r="J20" s="3">
        <f t="shared" si="1"/>
        <v>100</v>
      </c>
    </row>
    <row r="21" spans="2:10" ht="16.5" customHeight="1">
      <c r="G21" s="1">
        <v>85</v>
      </c>
      <c r="H21" s="3">
        <f t="shared" si="2"/>
        <v>200</v>
      </c>
      <c r="I21" s="3">
        <f t="shared" si="0"/>
        <v>300</v>
      </c>
      <c r="J21" s="3">
        <f t="shared" si="1"/>
        <v>100</v>
      </c>
    </row>
    <row r="22" spans="2:10" ht="16.5" customHeight="1">
      <c r="G22" s="1">
        <v>90</v>
      </c>
      <c r="H22" s="3">
        <f t="shared" si="2"/>
        <v>200</v>
      </c>
      <c r="I22" s="3">
        <f t="shared" si="0"/>
        <v>300</v>
      </c>
      <c r="J22" s="3">
        <f t="shared" si="1"/>
        <v>100</v>
      </c>
    </row>
    <row r="23" spans="2:10" ht="16.5" customHeight="1">
      <c r="G23" s="1">
        <v>95</v>
      </c>
      <c r="H23" s="3">
        <f t="shared" si="2"/>
        <v>200</v>
      </c>
      <c r="I23" s="3">
        <f t="shared" si="0"/>
        <v>300</v>
      </c>
      <c r="J23" s="3">
        <f t="shared" si="1"/>
        <v>100</v>
      </c>
    </row>
    <row r="24" spans="2:10" ht="16.5" customHeight="1">
      <c r="G24" s="1">
        <v>100</v>
      </c>
      <c r="H24" s="3">
        <f t="shared" si="2"/>
        <v>200</v>
      </c>
      <c r="I24" s="3">
        <f t="shared" si="0"/>
        <v>300</v>
      </c>
      <c r="J24" s="3">
        <f t="shared" si="1"/>
        <v>100</v>
      </c>
    </row>
    <row r="25" spans="2:10" ht="16.5" customHeight="1">
      <c r="G25" s="1">
        <v>105</v>
      </c>
      <c r="H25" s="3">
        <f t="shared" si="2"/>
        <v>200</v>
      </c>
      <c r="I25" s="3">
        <f t="shared" si="0"/>
        <v>300</v>
      </c>
      <c r="J25" s="3">
        <f t="shared" si="1"/>
        <v>100</v>
      </c>
    </row>
    <row r="26" spans="2:10" ht="16.5" customHeight="1">
      <c r="G26" s="1">
        <v>110</v>
      </c>
      <c r="H26" s="3">
        <f t="shared" si="2"/>
        <v>200</v>
      </c>
      <c r="I26" s="3">
        <f t="shared" si="0"/>
        <v>300</v>
      </c>
      <c r="J26" s="3">
        <f t="shared" si="1"/>
        <v>100</v>
      </c>
    </row>
    <row r="27" spans="2:10" ht="16.5" customHeight="1">
      <c r="C27" s="1" t="s">
        <v>5</v>
      </c>
      <c r="G27" s="1">
        <v>115</v>
      </c>
      <c r="H27" s="3">
        <f t="shared" si="2"/>
        <v>200</v>
      </c>
      <c r="I27" s="3">
        <f t="shared" si="0"/>
        <v>300</v>
      </c>
      <c r="J27" s="3">
        <f t="shared" si="1"/>
        <v>100</v>
      </c>
    </row>
    <row r="28" spans="2:10" ht="16.5" customHeight="1">
      <c r="G28" s="1">
        <v>120</v>
      </c>
      <c r="H28" s="3">
        <f t="shared" si="2"/>
        <v>200</v>
      </c>
      <c r="I28" s="3">
        <f t="shared" si="0"/>
        <v>300</v>
      </c>
      <c r="J28" s="3">
        <f t="shared" si="1"/>
        <v>100</v>
      </c>
    </row>
    <row r="29" spans="2:10" ht="16.5" customHeight="1"/>
    <row r="30" spans="2:10" ht="16.5" customHeight="1">
      <c r="B30" s="1" t="s">
        <v>17</v>
      </c>
    </row>
    <row r="31" spans="2:10" ht="16.5" customHeight="1"/>
    <row r="32" spans="2:10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spans="8:9" ht="16.5" customHeight="1"/>
    <row r="50" spans="8:9" ht="16.5" customHeight="1"/>
    <row r="51" spans="8:9" ht="16.5" customHeight="1"/>
    <row r="52" spans="8:9" ht="16.5" customHeight="1">
      <c r="H52" s="8"/>
    </row>
    <row r="53" spans="8:9" ht="16.5" customHeight="1">
      <c r="I53" s="8"/>
    </row>
    <row r="54" spans="8:9" ht="16.5" customHeight="1"/>
    <row r="55" spans="8:9" ht="16.5" customHeight="1"/>
    <row r="56" spans="8:9" ht="16.5" customHeight="1"/>
    <row r="57" spans="8:9" ht="16.5" customHeight="1"/>
    <row r="58" spans="8:9" ht="16.5" customHeight="1"/>
    <row r="59" spans="8:9" ht="16.5" customHeight="1"/>
    <row r="60" spans="8:9" ht="16.5" customHeight="1"/>
    <row r="61" spans="8:9" ht="16.5" customHeight="1"/>
    <row r="62" spans="8:9" ht="16.5" customHeight="1"/>
    <row r="63" spans="8:9" ht="16.5" customHeight="1"/>
    <row r="64" spans="8:9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10">
    <mergeCell ref="C5:C7"/>
    <mergeCell ref="D5:D7"/>
    <mergeCell ref="B2:B3"/>
    <mergeCell ref="C2:E2"/>
    <mergeCell ref="H2:J2"/>
    <mergeCell ref="C3:C4"/>
    <mergeCell ref="D3:D4"/>
    <mergeCell ref="E3:E4"/>
    <mergeCell ref="B5:B7"/>
    <mergeCell ref="E5:E7"/>
  </mergeCells>
  <phoneticPr fontId="27" type="noConversion"/>
  <dataValidations count="1">
    <dataValidation type="list" allowBlank="1" showErrorMessage="1" sqref="D5" xr:uid="{00000000-0002-0000-0100-000000000000}">
      <formula1>$H$3:$J$3</formula1>
    </dataValidation>
  </dataValidations>
  <pageMargins left="0.7" right="0.7" top="0.75" bottom="0.75" header="0" footer="0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0FC0F-F8AC-4653-9F1B-1F2E69194646}">
  <dimension ref="A1:U43"/>
  <sheetViews>
    <sheetView zoomScale="78" zoomScaleNormal="89" workbookViewId="0">
      <selection activeCell="B49" sqref="B49"/>
    </sheetView>
  </sheetViews>
  <sheetFormatPr defaultColWidth="8.88671875" defaultRowHeight="15.75"/>
  <cols>
    <col min="1" max="1" width="1" style="32" customWidth="1"/>
    <col min="2" max="2" width="11.109375" style="32" customWidth="1"/>
    <col min="3" max="3" width="14.6640625" style="32" customWidth="1"/>
    <col min="4" max="9" width="8.88671875" style="32"/>
    <col min="10" max="10" width="13.21875" style="32" customWidth="1"/>
    <col min="11" max="11" width="10.88671875" style="32" customWidth="1"/>
    <col min="12" max="12" width="9" style="32" customWidth="1"/>
    <col min="13" max="13" width="1.109375" style="32" customWidth="1"/>
    <col min="14" max="14" width="8.88671875" style="32"/>
    <col min="15" max="15" width="9" style="32" customWidth="1"/>
    <col min="16" max="16" width="8.88671875" style="32"/>
    <col min="17" max="17" width="9.88671875" style="32" customWidth="1"/>
    <col min="18" max="18" width="11" style="32" customWidth="1"/>
    <col min="19" max="20" width="8.88671875" style="32"/>
    <col min="21" max="21" width="1.33203125" style="32" customWidth="1"/>
    <col min="22" max="16384" width="8.88671875" style="32"/>
  </cols>
  <sheetData>
    <row r="1" spans="1:21" ht="27" thickBot="1">
      <c r="B1" s="408" t="s">
        <v>200</v>
      </c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</row>
    <row r="2" spans="1:21" ht="21.75" thickBot="1">
      <c r="A2" s="204"/>
      <c r="B2" s="205" t="s">
        <v>201</v>
      </c>
      <c r="C2" s="40" t="s">
        <v>168</v>
      </c>
      <c r="D2" s="150">
        <v>2.2999999999999998</v>
      </c>
      <c r="E2" s="40"/>
      <c r="F2" s="40" t="s">
        <v>202</v>
      </c>
      <c r="G2" s="206">
        <f>D2*G5*G6*G8</f>
        <v>0.18319716092041752</v>
      </c>
      <c r="H2" s="40"/>
      <c r="I2" s="207" t="s">
        <v>195</v>
      </c>
      <c r="J2" s="40"/>
      <c r="K2" s="144">
        <f>G12+D6+G3*G2</f>
        <v>821.72758813783776</v>
      </c>
      <c r="L2" s="83"/>
      <c r="M2" s="204"/>
      <c r="N2" s="208" t="s">
        <v>203</v>
      </c>
      <c r="O2" s="37"/>
      <c r="P2" s="40"/>
      <c r="Q2" s="40"/>
      <c r="R2" s="40"/>
      <c r="S2" s="40"/>
      <c r="T2" s="83"/>
      <c r="U2" s="204"/>
    </row>
    <row r="3" spans="1:21" ht="18.75">
      <c r="A3" s="204"/>
      <c r="B3" s="186"/>
      <c r="C3" s="50" t="s">
        <v>204</v>
      </c>
      <c r="D3" s="49" t="s">
        <v>91</v>
      </c>
      <c r="E3" s="50"/>
      <c r="F3" s="50" t="s">
        <v>205</v>
      </c>
      <c r="G3" s="90">
        <f>K15*1.65+(K14+K16)*1.4</f>
        <v>2077.4523809523807</v>
      </c>
      <c r="H3" s="50"/>
      <c r="I3" s="189" t="s">
        <v>196</v>
      </c>
      <c r="J3" s="50"/>
      <c r="K3" s="90">
        <f>4*G3*G12*G2</f>
        <v>1741.8692283963815</v>
      </c>
      <c r="L3" s="138"/>
      <c r="M3" s="204"/>
      <c r="N3" s="186"/>
      <c r="O3" s="50" t="s">
        <v>206</v>
      </c>
      <c r="P3" s="50"/>
      <c r="Q3" s="50"/>
      <c r="R3" s="209">
        <f>R5+R4</f>
        <v>3.0469222894763837</v>
      </c>
      <c r="S3" s="50" t="s">
        <v>207</v>
      </c>
      <c r="T3" s="138"/>
      <c r="U3" s="204"/>
    </row>
    <row r="4" spans="1:21" ht="18.75">
      <c r="A4" s="204"/>
      <c r="B4" s="186"/>
      <c r="C4" s="50" t="s">
        <v>208</v>
      </c>
      <c r="D4" s="49" t="s">
        <v>91</v>
      </c>
      <c r="E4" s="50"/>
      <c r="F4" s="50"/>
      <c r="G4" s="50"/>
      <c r="H4" s="50"/>
      <c r="I4" s="50"/>
      <c r="J4" s="50"/>
      <c r="K4" s="90"/>
      <c r="L4" s="138"/>
      <c r="M4" s="204"/>
      <c r="N4" s="186"/>
      <c r="O4" s="50" t="s">
        <v>209</v>
      </c>
      <c r="P4" s="50"/>
      <c r="Q4" s="50"/>
      <c r="R4" s="210">
        <f>K10*K20*K21</f>
        <v>8.4425067254161268E-2</v>
      </c>
      <c r="S4" s="50" t="s">
        <v>207</v>
      </c>
      <c r="T4" s="138"/>
      <c r="U4" s="204"/>
    </row>
    <row r="5" spans="1:21" ht="18.75">
      <c r="A5" s="204"/>
      <c r="B5" s="186"/>
      <c r="C5" s="50" t="s">
        <v>151</v>
      </c>
      <c r="D5" s="49">
        <v>100</v>
      </c>
      <c r="E5" s="50"/>
      <c r="F5" s="50" t="s">
        <v>96</v>
      </c>
      <c r="G5" s="210">
        <f>IF(K24&gt;0,1/(1+100/K24),0)</f>
        <v>0.10071942446043165</v>
      </c>
      <c r="H5" s="50"/>
      <c r="I5" s="50"/>
      <c r="J5" s="50"/>
      <c r="K5" s="211">
        <f>(K2-SQRT(K2^2-K3))/2/G3</f>
        <v>2.5525658972570385E-4</v>
      </c>
      <c r="L5" s="138"/>
      <c r="M5" s="204"/>
      <c r="N5" s="186"/>
      <c r="O5" s="50" t="s">
        <v>210</v>
      </c>
      <c r="P5" s="50"/>
      <c r="Q5" s="50"/>
      <c r="R5" s="210">
        <f>H19*H21*(F14-F15)/3600</f>
        <v>2.9624972222222223</v>
      </c>
      <c r="S5" s="50" t="s">
        <v>207</v>
      </c>
      <c r="T5" s="138"/>
      <c r="U5" s="204"/>
    </row>
    <row r="6" spans="1:21" ht="19.5" thickBot="1">
      <c r="A6" s="204"/>
      <c r="B6" s="186"/>
      <c r="C6" s="50" t="s">
        <v>101</v>
      </c>
      <c r="D6" s="49">
        <v>440</v>
      </c>
      <c r="E6" s="50"/>
      <c r="F6" s="50" t="s">
        <v>190</v>
      </c>
      <c r="G6" s="210">
        <f>IF(F7&gt;0,1/(1+D6/F7),0)</f>
        <v>0.79082004248254778</v>
      </c>
      <c r="H6" s="50"/>
      <c r="I6" s="50"/>
      <c r="J6" s="50"/>
      <c r="K6" s="50"/>
      <c r="L6" s="138"/>
      <c r="M6" s="204"/>
      <c r="N6" s="58"/>
      <c r="O6" s="59" t="s">
        <v>211</v>
      </c>
      <c r="P6" s="59"/>
      <c r="Q6" s="59"/>
      <c r="R6" s="59"/>
      <c r="S6" s="59"/>
      <c r="T6" s="140"/>
      <c r="U6" s="204"/>
    </row>
    <row r="7" spans="1:21" ht="16.5" thickBot="1">
      <c r="A7" s="204"/>
      <c r="B7" s="186"/>
      <c r="C7" s="50" t="s">
        <v>212</v>
      </c>
      <c r="D7" s="212">
        <v>848.7</v>
      </c>
      <c r="E7" s="50" t="s">
        <v>166</v>
      </c>
      <c r="F7" s="212">
        <f>D7*1.96</f>
        <v>1663.452</v>
      </c>
      <c r="G7" s="50" t="s">
        <v>122</v>
      </c>
      <c r="H7" s="50">
        <v>1.96</v>
      </c>
      <c r="I7" s="50"/>
      <c r="J7" s="50"/>
      <c r="K7" s="50"/>
      <c r="L7" s="138"/>
      <c r="M7" s="204"/>
      <c r="U7" s="204"/>
    </row>
    <row r="8" spans="1:21" ht="21.75" thickBot="1">
      <c r="A8" s="204"/>
      <c r="B8" s="186"/>
      <c r="C8" s="50" t="s">
        <v>213</v>
      </c>
      <c r="D8" s="49">
        <v>25</v>
      </c>
      <c r="E8" s="50"/>
      <c r="F8" s="50" t="s">
        <v>214</v>
      </c>
      <c r="G8" s="212">
        <f>(2*(D12+5)^2*(D8+D9)^2-(D12+5)^4)/(D8+D9)^4</f>
        <v>1</v>
      </c>
      <c r="H8" s="50"/>
      <c r="I8" s="50"/>
      <c r="J8" s="50" t="s">
        <v>198</v>
      </c>
      <c r="K8" s="213">
        <v>0.16</v>
      </c>
      <c r="L8" s="138" t="s">
        <v>215</v>
      </c>
      <c r="M8" s="204"/>
      <c r="N8" s="214" t="s">
        <v>216</v>
      </c>
      <c r="O8" s="215"/>
      <c r="P8" s="40"/>
      <c r="Q8" s="40"/>
      <c r="R8" s="40"/>
      <c r="S8" s="40"/>
      <c r="T8" s="83"/>
      <c r="U8" s="204"/>
    </row>
    <row r="9" spans="1:21" ht="18.75">
      <c r="A9" s="204"/>
      <c r="B9" s="186"/>
      <c r="C9" s="50" t="s">
        <v>80</v>
      </c>
      <c r="D9" s="49">
        <v>5</v>
      </c>
      <c r="E9" s="50"/>
      <c r="F9" s="50" t="s">
        <v>147</v>
      </c>
      <c r="G9" s="210">
        <f>(2352-F14)/2/2352</f>
        <v>0.117453231292517</v>
      </c>
      <c r="H9" s="50"/>
      <c r="I9" s="50"/>
      <c r="J9" s="50" t="s">
        <v>217</v>
      </c>
      <c r="K9" s="210">
        <f>K8*G9</f>
        <v>1.879251700680272E-2</v>
      </c>
      <c r="L9" s="138" t="s">
        <v>215</v>
      </c>
      <c r="M9" s="204"/>
      <c r="N9" s="186"/>
      <c r="O9" s="50" t="s">
        <v>218</v>
      </c>
      <c r="P9" s="50"/>
      <c r="Q9" s="50"/>
      <c r="R9" s="216">
        <f>K17*K20*K21</f>
        <v>6.2780257933607047</v>
      </c>
      <c r="S9" s="50" t="s">
        <v>207</v>
      </c>
      <c r="T9" s="138"/>
      <c r="U9" s="204"/>
    </row>
    <row r="10" spans="1:21" ht="16.5" thickBot="1">
      <c r="A10" s="204"/>
      <c r="B10" s="58"/>
      <c r="C10" s="59" t="s">
        <v>143</v>
      </c>
      <c r="D10" s="148">
        <v>7.0000000000000007E-2</v>
      </c>
      <c r="E10" s="59"/>
      <c r="F10" s="59" t="s">
        <v>219</v>
      </c>
      <c r="G10" s="217">
        <f>D10*2^((D12-20)/10)</f>
        <v>9.8994949366116664E-2</v>
      </c>
      <c r="H10" s="59" t="s">
        <v>220</v>
      </c>
      <c r="I10" s="59"/>
      <c r="J10" s="59" t="s">
        <v>221</v>
      </c>
      <c r="K10" s="217">
        <f>K8-K9-G10</f>
        <v>4.2212533627080634E-2</v>
      </c>
      <c r="L10" s="140" t="s">
        <v>222</v>
      </c>
      <c r="M10" s="204"/>
      <c r="N10" s="186"/>
      <c r="O10" s="50" t="s">
        <v>223</v>
      </c>
      <c r="P10" s="50"/>
      <c r="Q10" s="50"/>
      <c r="R10" s="218">
        <f>R11+R12-R9</f>
        <v>37.307397270920127</v>
      </c>
      <c r="S10" s="50" t="s">
        <v>207</v>
      </c>
      <c r="T10" s="138"/>
      <c r="U10" s="204"/>
    </row>
    <row r="11" spans="1:21" ht="19.5" thickBot="1">
      <c r="A11" s="204"/>
      <c r="B11" s="219" t="s">
        <v>224</v>
      </c>
      <c r="C11" s="40"/>
      <c r="D11" s="40"/>
      <c r="E11" s="40"/>
      <c r="F11" s="40"/>
      <c r="G11" s="40" t="s">
        <v>225</v>
      </c>
      <c r="H11" s="40" t="s">
        <v>226</v>
      </c>
      <c r="I11" s="77" t="s">
        <v>117</v>
      </c>
      <c r="L11" s="83"/>
      <c r="M11" s="204"/>
      <c r="N11" s="186"/>
      <c r="O11" s="50" t="s">
        <v>227</v>
      </c>
      <c r="P11" s="50"/>
      <c r="Q11" s="50"/>
      <c r="R11" s="216">
        <f>H19*H21*(K12-K13)*1000/3600</f>
        <v>43.585423064280832</v>
      </c>
      <c r="S11" s="50" t="s">
        <v>207</v>
      </c>
      <c r="T11" s="138"/>
      <c r="U11" s="204"/>
    </row>
    <row r="12" spans="1:21" ht="16.5" thickBot="1">
      <c r="A12" s="204"/>
      <c r="B12" s="186"/>
      <c r="C12" s="50" t="s">
        <v>228</v>
      </c>
      <c r="D12" s="49">
        <v>25</v>
      </c>
      <c r="E12" s="50" t="s">
        <v>229</v>
      </c>
      <c r="F12" s="49">
        <v>80</v>
      </c>
      <c r="G12" s="35">
        <v>1.1442099999999999</v>
      </c>
      <c r="H12" s="49">
        <v>65.812749999999994</v>
      </c>
      <c r="I12" s="220">
        <f>0.61078 * EXP(17.269*D12/(237.3+D12))</f>
        <v>3.1673720930966622</v>
      </c>
      <c r="J12" s="50" t="s">
        <v>230</v>
      </c>
      <c r="K12" s="216">
        <f>2166*I12/(273.16+D12)*F12/100</f>
        <v>18.40764141037663</v>
      </c>
      <c r="L12" s="138" t="s">
        <v>121</v>
      </c>
      <c r="M12" s="204"/>
      <c r="N12" s="186"/>
      <c r="O12" s="50" t="s">
        <v>231</v>
      </c>
      <c r="P12" s="50"/>
      <c r="Q12" s="50"/>
      <c r="R12" s="212">
        <v>0</v>
      </c>
      <c r="S12" s="50" t="s">
        <v>207</v>
      </c>
      <c r="T12" s="138"/>
      <c r="U12" s="204"/>
    </row>
    <row r="13" spans="1:21" ht="20.25" thickBot="1">
      <c r="A13" s="204"/>
      <c r="B13" s="186"/>
      <c r="C13" s="50" t="s">
        <v>232</v>
      </c>
      <c r="D13" s="49">
        <v>5</v>
      </c>
      <c r="E13" s="50" t="s">
        <v>233</v>
      </c>
      <c r="F13" s="49">
        <v>40</v>
      </c>
      <c r="G13" s="35">
        <v>1.2674399999999999</v>
      </c>
      <c r="H13" s="49">
        <v>10.426080000000001</v>
      </c>
      <c r="I13" s="221">
        <f>0.61078 * EXP(17.269*D13/(237.3+D13))</f>
        <v>0.87226439758614394</v>
      </c>
      <c r="J13" s="50" t="s">
        <v>234</v>
      </c>
      <c r="K13" s="216">
        <f>2166*I13/(273.16+D13)*F13/100</f>
        <v>2.7168891072355303</v>
      </c>
      <c r="L13" s="138" t="s">
        <v>121</v>
      </c>
      <c r="M13" s="204"/>
      <c r="N13" s="58"/>
      <c r="O13" s="59" t="s">
        <v>235</v>
      </c>
      <c r="P13" s="59"/>
      <c r="Q13" s="59"/>
      <c r="R13" s="59"/>
      <c r="S13" s="59"/>
      <c r="T13" s="140"/>
      <c r="U13" s="204"/>
    </row>
    <row r="14" spans="1:21" ht="16.5" thickBot="1">
      <c r="A14" s="204"/>
      <c r="B14" s="186"/>
      <c r="C14" s="50" t="s">
        <v>236</v>
      </c>
      <c r="D14" s="49">
        <v>1000</v>
      </c>
      <c r="E14" s="222" t="s">
        <v>237</v>
      </c>
      <c r="F14" s="212">
        <f>D14*1.7995</f>
        <v>1799.5</v>
      </c>
      <c r="G14" s="50" t="s">
        <v>122</v>
      </c>
      <c r="H14" s="50">
        <f>F14/D14</f>
        <v>1.7995000000000001</v>
      </c>
      <c r="I14" s="50"/>
      <c r="J14" s="50" t="s">
        <v>95</v>
      </c>
      <c r="K14" s="216">
        <f>IF(K24&gt;80,200,1200-K24*(1200-200)/80)</f>
        <v>1060</v>
      </c>
      <c r="L14" s="138" t="s">
        <v>238</v>
      </c>
      <c r="M14" s="204"/>
      <c r="U14" s="204"/>
    </row>
    <row r="15" spans="1:21" ht="21.75" thickBot="1">
      <c r="A15" s="204"/>
      <c r="B15" s="186"/>
      <c r="C15" s="50" t="s">
        <v>239</v>
      </c>
      <c r="D15" s="49">
        <v>380</v>
      </c>
      <c r="E15" s="222" t="s">
        <v>237</v>
      </c>
      <c r="F15" s="216">
        <f>D15*1.92895</f>
        <v>733.00099999999998</v>
      </c>
      <c r="G15" s="50" t="s">
        <v>122</v>
      </c>
      <c r="H15" s="50">
        <f>733/380</f>
        <v>1.9289473684210525</v>
      </c>
      <c r="I15" s="50"/>
      <c r="J15" s="50" t="s">
        <v>94</v>
      </c>
      <c r="K15" s="216">
        <f>IF(D16&gt;=1,100,200-(D16*100))</f>
        <v>100</v>
      </c>
      <c r="L15" s="138" t="s">
        <v>238</v>
      </c>
      <c r="M15" s="204"/>
      <c r="N15" s="208" t="s">
        <v>240</v>
      </c>
      <c r="O15" s="37"/>
      <c r="P15" s="40"/>
      <c r="Q15" s="40" t="s">
        <v>241</v>
      </c>
      <c r="R15" s="40"/>
      <c r="S15" s="40"/>
      <c r="T15" s="83"/>
      <c r="U15" s="204"/>
    </row>
    <row r="16" spans="1:21" ht="18.75">
      <c r="A16" s="204"/>
      <c r="B16" s="186"/>
      <c r="C16" s="50" t="s">
        <v>242</v>
      </c>
      <c r="D16" s="49">
        <v>1</v>
      </c>
      <c r="E16" s="50" t="s">
        <v>243</v>
      </c>
      <c r="F16" s="50"/>
      <c r="G16" s="50"/>
      <c r="H16" s="50"/>
      <c r="I16" s="50"/>
      <c r="J16" s="50" t="s">
        <v>244</v>
      </c>
      <c r="K16" s="216">
        <f>IF(F14&gt;=2352,400,400*F14/2352)</f>
        <v>306.03741496598639</v>
      </c>
      <c r="L16" s="138" t="s">
        <v>238</v>
      </c>
      <c r="M16" s="204"/>
      <c r="N16" s="186"/>
      <c r="O16" s="50" t="s">
        <v>245</v>
      </c>
      <c r="P16" s="50"/>
      <c r="Q16" s="50"/>
      <c r="R16" s="212">
        <f>K25</f>
        <v>8000</v>
      </c>
      <c r="S16" s="50" t="s">
        <v>246</v>
      </c>
      <c r="T16" s="138"/>
      <c r="U16" s="204"/>
    </row>
    <row r="17" spans="1:21" ht="19.5" thickBot="1">
      <c r="A17" s="204"/>
      <c r="B17" s="186"/>
      <c r="C17" s="50"/>
      <c r="D17" s="50"/>
      <c r="E17" s="50"/>
      <c r="F17" s="50"/>
      <c r="G17" s="50"/>
      <c r="H17" s="50"/>
      <c r="I17" s="50"/>
      <c r="J17" s="50" t="s">
        <v>247</v>
      </c>
      <c r="K17" s="210">
        <f>(K12/F12*100-K12)*1000/SUM(K14:K16)</f>
        <v>3.1390128966803519</v>
      </c>
      <c r="L17" s="138" t="s">
        <v>215</v>
      </c>
      <c r="M17" s="204"/>
      <c r="N17" s="186"/>
      <c r="O17" s="50" t="s">
        <v>248</v>
      </c>
      <c r="P17" s="50"/>
      <c r="Q17" s="50"/>
      <c r="R17" s="212">
        <f>D26</f>
        <v>80</v>
      </c>
      <c r="S17" s="50" t="s">
        <v>246</v>
      </c>
      <c r="T17" s="138"/>
      <c r="U17" s="204"/>
    </row>
    <row r="18" spans="1:21" ht="16.5" thickBot="1">
      <c r="A18" s="204"/>
      <c r="B18" s="219" t="s">
        <v>249</v>
      </c>
      <c r="C18" s="40"/>
      <c r="D18" s="40"/>
      <c r="E18" s="40"/>
      <c r="F18" s="40"/>
      <c r="G18" s="40"/>
      <c r="H18" s="40"/>
      <c r="I18" s="40"/>
      <c r="J18" s="40"/>
      <c r="K18" s="40"/>
      <c r="L18" s="83"/>
      <c r="M18" s="204"/>
      <c r="N18" s="186"/>
      <c r="O18" s="50" t="s">
        <v>250</v>
      </c>
      <c r="P18" s="50"/>
      <c r="Q18" s="50"/>
      <c r="R18" s="216">
        <f>(H12-H13)*G12*H19*H21/3.6</f>
        <v>176.03883800194441</v>
      </c>
      <c r="S18" s="50" t="s">
        <v>246</v>
      </c>
      <c r="T18" s="138"/>
      <c r="U18" s="204"/>
    </row>
    <row r="19" spans="1:21">
      <c r="A19" s="204"/>
      <c r="B19" s="186"/>
      <c r="C19" s="50" t="s">
        <v>251</v>
      </c>
      <c r="D19" s="49">
        <v>10</v>
      </c>
      <c r="E19" s="50" t="s">
        <v>252</v>
      </c>
      <c r="F19" s="50" t="s">
        <v>253</v>
      </c>
      <c r="G19" s="50"/>
      <c r="H19" s="212">
        <f>D19*D20*D21</f>
        <v>500</v>
      </c>
      <c r="I19" s="50" t="s">
        <v>254</v>
      </c>
      <c r="J19" s="50"/>
      <c r="K19" s="50"/>
      <c r="L19" s="138"/>
      <c r="M19" s="204"/>
      <c r="N19" s="186"/>
      <c r="O19" s="50" t="s">
        <v>255</v>
      </c>
      <c r="P19" s="50"/>
      <c r="Q19" s="50"/>
      <c r="R19" s="212">
        <f>(D19*D20*2+D20*D21*2+D19*D21*2)*0.1*(D12-D13)</f>
        <v>800</v>
      </c>
      <c r="S19" s="50" t="s">
        <v>246</v>
      </c>
      <c r="T19" s="138"/>
      <c r="U19" s="204"/>
    </row>
    <row r="20" spans="1:21">
      <c r="A20" s="204"/>
      <c r="B20" s="186"/>
      <c r="C20" s="50" t="s">
        <v>256</v>
      </c>
      <c r="D20" s="49">
        <v>10</v>
      </c>
      <c r="E20" s="50" t="s">
        <v>252</v>
      </c>
      <c r="F20" s="50" t="s">
        <v>257</v>
      </c>
      <c r="G20" s="50"/>
      <c r="H20" s="49">
        <v>200</v>
      </c>
      <c r="I20" s="50" t="s">
        <v>258</v>
      </c>
      <c r="J20" s="50" t="s">
        <v>259</v>
      </c>
      <c r="K20" s="49">
        <v>0.02</v>
      </c>
      <c r="L20" s="138" t="s">
        <v>260</v>
      </c>
      <c r="M20" s="204"/>
      <c r="N20" s="186"/>
      <c r="O20" s="50" t="s">
        <v>261</v>
      </c>
      <c r="P20" s="50"/>
      <c r="Q20" s="50"/>
      <c r="R20" s="216">
        <f>R16+R17-R18-R19</f>
        <v>7103.961161998056</v>
      </c>
      <c r="S20" s="50" t="s">
        <v>246</v>
      </c>
      <c r="T20" s="138"/>
      <c r="U20" s="204"/>
    </row>
    <row r="21" spans="1:21" ht="19.5" thickBot="1">
      <c r="A21" s="204"/>
      <c r="B21" s="58"/>
      <c r="C21" s="59" t="s">
        <v>262</v>
      </c>
      <c r="D21" s="148">
        <v>5</v>
      </c>
      <c r="E21" s="59" t="s">
        <v>252</v>
      </c>
      <c r="F21" s="59" t="s">
        <v>263</v>
      </c>
      <c r="G21" s="59"/>
      <c r="H21" s="148">
        <v>0.02</v>
      </c>
      <c r="I21" s="59" t="s">
        <v>264</v>
      </c>
      <c r="J21" s="59" t="s">
        <v>265</v>
      </c>
      <c r="K21" s="148">
        <v>100</v>
      </c>
      <c r="L21" s="140" t="s">
        <v>266</v>
      </c>
      <c r="M21" s="204"/>
      <c r="N21" s="58"/>
      <c r="O21" s="59" t="s">
        <v>267</v>
      </c>
      <c r="P21" s="59"/>
      <c r="Q21" s="59"/>
      <c r="R21" s="59"/>
      <c r="S21" s="59"/>
      <c r="T21" s="140"/>
      <c r="U21" s="204"/>
    </row>
    <row r="22" spans="1:21" ht="16.5" thickBot="1">
      <c r="A22" s="204"/>
      <c r="B22" s="219" t="s">
        <v>268</v>
      </c>
      <c r="C22" s="50"/>
      <c r="D22" s="50"/>
      <c r="E22" s="50"/>
      <c r="F22" s="50"/>
      <c r="G22" s="50"/>
      <c r="H22" s="50"/>
      <c r="I22" s="50"/>
      <c r="J22" s="50"/>
      <c r="K22" s="50"/>
      <c r="L22" s="138"/>
      <c r="M22" s="204"/>
      <c r="N22" s="39"/>
      <c r="O22" s="40"/>
      <c r="P22" s="40"/>
      <c r="Q22" s="40"/>
      <c r="R22" s="40"/>
      <c r="S22" s="40"/>
      <c r="T22" s="83"/>
      <c r="U22" s="204"/>
    </row>
    <row r="23" spans="1:21" ht="18">
      <c r="A23" s="204"/>
      <c r="B23" s="186"/>
      <c r="C23" s="50" t="s">
        <v>269</v>
      </c>
      <c r="D23" s="50" t="s">
        <v>270</v>
      </c>
      <c r="E23" s="50"/>
      <c r="F23" s="50" t="s">
        <v>271</v>
      </c>
      <c r="G23" s="50"/>
      <c r="H23" s="49">
        <v>200</v>
      </c>
      <c r="I23" s="50"/>
      <c r="J23" s="50" t="s">
        <v>272</v>
      </c>
      <c r="K23" s="210">
        <f>D25*H24*H25*H23/H20/S25</f>
        <v>51.499994827009445</v>
      </c>
      <c r="L23" s="223" t="s">
        <v>273</v>
      </c>
      <c r="M23" s="204"/>
      <c r="N23" s="186"/>
      <c r="O23" s="50" t="s">
        <v>274</v>
      </c>
      <c r="P23" s="50"/>
      <c r="Q23" s="50" t="s">
        <v>275</v>
      </c>
      <c r="R23" s="50"/>
      <c r="S23" s="189" t="s">
        <v>276</v>
      </c>
      <c r="T23" s="138"/>
      <c r="U23" s="204"/>
    </row>
    <row r="24" spans="1:21">
      <c r="A24" s="204"/>
      <c r="B24" s="186"/>
      <c r="C24" s="50" t="s">
        <v>277</v>
      </c>
      <c r="D24" s="49">
        <v>40</v>
      </c>
      <c r="E24" s="50" t="s">
        <v>246</v>
      </c>
      <c r="F24" s="50" t="s">
        <v>278</v>
      </c>
      <c r="G24" s="50"/>
      <c r="H24" s="49">
        <v>0.8</v>
      </c>
      <c r="I24" s="50"/>
      <c r="J24" s="50" t="s">
        <v>93</v>
      </c>
      <c r="K24" s="210">
        <f>D25*H24*H25*H23/H20/R25</f>
        <v>11.2</v>
      </c>
      <c r="L24" s="138" t="s">
        <v>279</v>
      </c>
      <c r="M24" s="204"/>
      <c r="N24" s="186"/>
      <c r="O24" s="50"/>
      <c r="P24" s="50"/>
      <c r="Q24" s="224" t="s">
        <v>280</v>
      </c>
      <c r="R24" s="50"/>
      <c r="S24" s="50"/>
      <c r="T24" s="138"/>
      <c r="U24" s="204"/>
    </row>
    <row r="25" spans="1:21">
      <c r="A25" s="204"/>
      <c r="B25" s="186"/>
      <c r="C25" s="50" t="s">
        <v>281</v>
      </c>
      <c r="D25" s="49">
        <v>3500</v>
      </c>
      <c r="E25" s="50" t="s">
        <v>282</v>
      </c>
      <c r="F25" s="50" t="s">
        <v>283</v>
      </c>
      <c r="G25" s="50"/>
      <c r="H25" s="49">
        <v>0.8</v>
      </c>
      <c r="I25" s="50"/>
      <c r="J25" s="50" t="s">
        <v>284</v>
      </c>
      <c r="K25" s="212">
        <f>H23*D24</f>
        <v>8000</v>
      </c>
      <c r="L25" s="138" t="s">
        <v>246</v>
      </c>
      <c r="M25" s="204"/>
      <c r="N25" s="186"/>
      <c r="O25" s="50"/>
      <c r="P25" s="50"/>
      <c r="Q25" s="50" t="s">
        <v>270</v>
      </c>
      <c r="R25" s="50">
        <v>200</v>
      </c>
      <c r="S25" s="90">
        <v>43.495150000000002</v>
      </c>
      <c r="T25" s="138"/>
      <c r="U25" s="204"/>
    </row>
    <row r="26" spans="1:21" ht="16.5" thickBot="1">
      <c r="A26" s="204"/>
      <c r="B26" s="58"/>
      <c r="C26" s="59" t="s">
        <v>285</v>
      </c>
      <c r="D26" s="148">
        <v>80</v>
      </c>
      <c r="E26" s="59" t="s">
        <v>246</v>
      </c>
      <c r="F26" s="59"/>
      <c r="G26" s="59"/>
      <c r="H26" s="59"/>
      <c r="I26" s="59"/>
      <c r="J26" s="59"/>
      <c r="K26" s="59"/>
      <c r="L26" s="140"/>
      <c r="M26" s="204"/>
      <c r="N26" s="58"/>
      <c r="O26" s="59"/>
      <c r="P26" s="59"/>
      <c r="Q26" s="59" t="s">
        <v>286</v>
      </c>
      <c r="R26" s="59">
        <v>400</v>
      </c>
      <c r="S26" s="124">
        <v>87.159530000000004</v>
      </c>
      <c r="T26" s="140"/>
      <c r="U26" s="204"/>
    </row>
    <row r="29" spans="1:21" ht="16.5" thickBot="1"/>
    <row r="30" spans="1:21">
      <c r="N30" s="225">
        <v>2240</v>
      </c>
      <c r="O30" s="41" t="s">
        <v>287</v>
      </c>
      <c r="P30" s="41"/>
      <c r="Q30" s="41" t="s">
        <v>288</v>
      </c>
      <c r="R30" s="42" t="s">
        <v>150</v>
      </c>
    </row>
    <row r="31" spans="1:21">
      <c r="N31" s="186" t="s">
        <v>270</v>
      </c>
      <c r="O31" s="50"/>
      <c r="P31" s="50"/>
      <c r="Q31" s="50">
        <v>51.5</v>
      </c>
      <c r="R31" s="181">
        <f t="shared" ref="R31:R32" si="0">$N$30/Q31</f>
        <v>43.495145631067963</v>
      </c>
    </row>
    <row r="32" spans="1:21">
      <c r="N32" s="186" t="s">
        <v>286</v>
      </c>
      <c r="O32" s="50"/>
      <c r="P32" s="50"/>
      <c r="Q32" s="50">
        <v>25.7</v>
      </c>
      <c r="R32" s="181">
        <f t="shared" si="0"/>
        <v>87.159533073929964</v>
      </c>
    </row>
    <row r="33" spans="14:18">
      <c r="N33" s="186" t="s">
        <v>289</v>
      </c>
      <c r="O33" s="50"/>
      <c r="P33" s="50"/>
      <c r="Q33" s="50">
        <v>30.22</v>
      </c>
      <c r="R33" s="181">
        <f>$N$30/Q33</f>
        <v>74.123097286565198</v>
      </c>
    </row>
    <row r="34" spans="14:18">
      <c r="N34" s="186" t="s">
        <v>290</v>
      </c>
      <c r="O34" s="50"/>
      <c r="P34" s="50"/>
      <c r="Q34" s="50">
        <v>39.65</v>
      </c>
      <c r="R34" s="181">
        <f t="shared" ref="R34:R42" si="1">$N$30/Q34</f>
        <v>56.494325346784365</v>
      </c>
    </row>
    <row r="35" spans="14:18">
      <c r="N35" s="186" t="s">
        <v>291</v>
      </c>
      <c r="O35" s="50"/>
      <c r="P35" s="50"/>
      <c r="Q35" s="50">
        <v>77.47</v>
      </c>
      <c r="R35" s="181">
        <f t="shared" si="1"/>
        <v>28.914418484574675</v>
      </c>
    </row>
    <row r="36" spans="14:18">
      <c r="N36" s="186" t="s">
        <v>292</v>
      </c>
      <c r="O36" s="50"/>
      <c r="P36" s="50"/>
      <c r="Q36" s="50">
        <v>38.6</v>
      </c>
      <c r="R36" s="181">
        <f t="shared" si="1"/>
        <v>58.031088082901555</v>
      </c>
    </row>
    <row r="37" spans="14:18">
      <c r="N37" s="186" t="s">
        <v>293</v>
      </c>
      <c r="O37" s="50"/>
      <c r="P37" s="50"/>
      <c r="Q37" s="50">
        <v>39.92</v>
      </c>
      <c r="R37" s="181">
        <f t="shared" si="1"/>
        <v>56.112224448897791</v>
      </c>
    </row>
    <row r="38" spans="14:18">
      <c r="N38" s="186" t="s">
        <v>294</v>
      </c>
      <c r="O38" s="50"/>
      <c r="P38" s="50"/>
      <c r="Q38" s="50">
        <v>29.06</v>
      </c>
      <c r="R38" s="181">
        <f t="shared" si="1"/>
        <v>77.081899518238131</v>
      </c>
    </row>
    <row r="39" spans="14:18">
      <c r="N39" s="186" t="s">
        <v>295</v>
      </c>
      <c r="O39" s="50"/>
      <c r="P39" s="50"/>
      <c r="Q39" s="50">
        <v>172.14</v>
      </c>
      <c r="R39" s="181">
        <f t="shared" si="1"/>
        <v>13.012664110607647</v>
      </c>
    </row>
    <row r="40" spans="14:18">
      <c r="N40" s="186" t="s">
        <v>296</v>
      </c>
      <c r="O40" s="50"/>
      <c r="P40" s="50"/>
      <c r="Q40" s="50">
        <v>258.83999999999997</v>
      </c>
      <c r="R40" s="181">
        <f t="shared" si="1"/>
        <v>8.6539947457889053</v>
      </c>
    </row>
    <row r="41" spans="14:18">
      <c r="N41" s="186" t="s">
        <v>297</v>
      </c>
      <c r="O41" s="50"/>
      <c r="P41" s="50"/>
      <c r="Q41" s="50">
        <v>198.76</v>
      </c>
      <c r="R41" s="181">
        <f t="shared" si="1"/>
        <v>11.269873213926344</v>
      </c>
    </row>
    <row r="42" spans="14:18">
      <c r="N42" s="186" t="s">
        <v>298</v>
      </c>
      <c r="O42" s="50"/>
      <c r="P42" s="50"/>
      <c r="Q42" s="50">
        <v>57.54</v>
      </c>
      <c r="R42" s="181">
        <f t="shared" si="1"/>
        <v>38.929440389294406</v>
      </c>
    </row>
    <row r="43" spans="14:18" ht="16.5" thickBot="1">
      <c r="N43" s="58" t="s">
        <v>299</v>
      </c>
      <c r="O43" s="59"/>
      <c r="P43" s="59"/>
      <c r="Q43" s="59"/>
      <c r="R43" s="140"/>
    </row>
  </sheetData>
  <mergeCells count="1">
    <mergeCell ref="B1:T1"/>
  </mergeCells>
  <phoneticPr fontId="2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1000"/>
  <sheetViews>
    <sheetView workbookViewId="0">
      <selection activeCell="F21" sqref="F21"/>
    </sheetView>
  </sheetViews>
  <sheetFormatPr defaultColWidth="11.21875" defaultRowHeight="15" customHeight="1"/>
  <cols>
    <col min="1" max="1" width="6.77734375" customWidth="1"/>
    <col min="2" max="2" width="11.21875" customWidth="1"/>
    <col min="3" max="3" width="14.77734375" customWidth="1"/>
    <col min="4" max="5" width="6.77734375" customWidth="1"/>
    <col min="6" max="6" width="11.109375" customWidth="1"/>
    <col min="7" max="7" width="13.21875" customWidth="1"/>
    <col min="8" max="26" width="6.77734375" customWidth="1"/>
  </cols>
  <sheetData>
    <row r="1" spans="2:7" ht="16.5" customHeight="1"/>
    <row r="2" spans="2:7" ht="16.5" customHeight="1">
      <c r="B2" s="9" t="s">
        <v>18</v>
      </c>
      <c r="C2" s="10" t="s">
        <v>19</v>
      </c>
    </row>
    <row r="3" spans="2:7" ht="30" customHeight="1">
      <c r="B3" s="280" t="str">
        <f t="shared" ref="B3:C3" si="0">F3</f>
        <v>Wind velocity, m/s</v>
      </c>
      <c r="C3" s="290" t="str">
        <f t="shared" si="0"/>
        <v>Aerodynamic resistance, s/m</v>
      </c>
      <c r="F3" s="280" t="s">
        <v>20</v>
      </c>
      <c r="G3" s="290" t="s">
        <v>21</v>
      </c>
    </row>
    <row r="4" spans="2:7" ht="16.5" customHeight="1">
      <c r="B4" s="6">
        <v>1</v>
      </c>
      <c r="C4" s="11">
        <f>IF(B4&lt;=1,(100-200)/1*B4+200,100)</f>
        <v>100</v>
      </c>
      <c r="F4" s="1">
        <v>0</v>
      </c>
      <c r="G4" s="1">
        <f t="shared" ref="G4:G34" si="1">IF(F4&lt;=1,(100-200)/1*F4+200,100)</f>
        <v>200</v>
      </c>
    </row>
    <row r="5" spans="2:7" ht="16.5" customHeight="1">
      <c r="F5" s="1">
        <v>0.1</v>
      </c>
      <c r="G5" s="1">
        <f t="shared" si="1"/>
        <v>190</v>
      </c>
    </row>
    <row r="6" spans="2:7" ht="16.5" customHeight="1">
      <c r="F6" s="1">
        <v>0.2</v>
      </c>
      <c r="G6" s="1">
        <f t="shared" si="1"/>
        <v>180</v>
      </c>
    </row>
    <row r="7" spans="2:7" ht="16.5" customHeight="1">
      <c r="F7" s="1">
        <v>0.3</v>
      </c>
      <c r="G7" s="1">
        <f t="shared" si="1"/>
        <v>170</v>
      </c>
    </row>
    <row r="8" spans="2:7" ht="16.5" customHeight="1">
      <c r="F8" s="1">
        <v>0.4</v>
      </c>
      <c r="G8" s="1">
        <f t="shared" si="1"/>
        <v>160</v>
      </c>
    </row>
    <row r="9" spans="2:7" ht="16.5" customHeight="1">
      <c r="F9" s="1">
        <v>0.5</v>
      </c>
      <c r="G9" s="1">
        <f t="shared" si="1"/>
        <v>150</v>
      </c>
    </row>
    <row r="10" spans="2:7" ht="16.5" customHeight="1">
      <c r="F10" s="1">
        <v>0.6</v>
      </c>
      <c r="G10" s="1">
        <f t="shared" si="1"/>
        <v>140</v>
      </c>
    </row>
    <row r="11" spans="2:7" ht="16.5" customHeight="1">
      <c r="F11" s="1">
        <v>0.7</v>
      </c>
      <c r="G11" s="1">
        <f t="shared" si="1"/>
        <v>130</v>
      </c>
    </row>
    <row r="12" spans="2:7" ht="16.5" customHeight="1">
      <c r="F12" s="1">
        <v>0.8</v>
      </c>
      <c r="G12" s="1">
        <f t="shared" si="1"/>
        <v>120</v>
      </c>
    </row>
    <row r="13" spans="2:7" ht="16.5" customHeight="1">
      <c r="F13" s="1">
        <v>0.9</v>
      </c>
      <c r="G13" s="1">
        <f t="shared" si="1"/>
        <v>110</v>
      </c>
    </row>
    <row r="14" spans="2:7" ht="16.5" customHeight="1">
      <c r="F14" s="1">
        <v>1</v>
      </c>
      <c r="G14" s="1">
        <f t="shared" si="1"/>
        <v>100</v>
      </c>
    </row>
    <row r="15" spans="2:7" ht="16.5" customHeight="1">
      <c r="F15" s="1">
        <v>1.1000000000000001</v>
      </c>
      <c r="G15" s="1">
        <f t="shared" si="1"/>
        <v>100</v>
      </c>
    </row>
    <row r="16" spans="2:7" ht="16.5" customHeight="1">
      <c r="F16" s="1">
        <v>1.2</v>
      </c>
      <c r="G16" s="1">
        <f t="shared" si="1"/>
        <v>100</v>
      </c>
    </row>
    <row r="17" spans="6:7" ht="16.5" customHeight="1">
      <c r="F17" s="1">
        <v>1.3</v>
      </c>
      <c r="G17" s="1">
        <f t="shared" si="1"/>
        <v>100</v>
      </c>
    </row>
    <row r="18" spans="6:7" ht="16.5" customHeight="1">
      <c r="F18" s="1">
        <v>1.4</v>
      </c>
      <c r="G18" s="1">
        <f t="shared" si="1"/>
        <v>100</v>
      </c>
    </row>
    <row r="19" spans="6:7" ht="16.5" customHeight="1">
      <c r="F19" s="1">
        <v>1.5</v>
      </c>
      <c r="G19" s="1">
        <f t="shared" si="1"/>
        <v>100</v>
      </c>
    </row>
    <row r="20" spans="6:7" ht="16.5" customHeight="1">
      <c r="F20" s="1">
        <v>1.6</v>
      </c>
      <c r="G20" s="1">
        <f t="shared" si="1"/>
        <v>100</v>
      </c>
    </row>
    <row r="21" spans="6:7" ht="16.5" customHeight="1">
      <c r="F21" s="1">
        <v>1.7</v>
      </c>
      <c r="G21" s="1">
        <f t="shared" si="1"/>
        <v>100</v>
      </c>
    </row>
    <row r="22" spans="6:7" ht="16.5" customHeight="1">
      <c r="F22" s="1">
        <v>1.8</v>
      </c>
      <c r="G22" s="1">
        <f t="shared" si="1"/>
        <v>100</v>
      </c>
    </row>
    <row r="23" spans="6:7" ht="16.5" customHeight="1">
      <c r="F23" s="1">
        <v>1.9</v>
      </c>
      <c r="G23" s="1">
        <f t="shared" si="1"/>
        <v>100</v>
      </c>
    </row>
    <row r="24" spans="6:7" ht="16.5" customHeight="1">
      <c r="F24" s="1">
        <v>2</v>
      </c>
      <c r="G24" s="1">
        <f t="shared" si="1"/>
        <v>100</v>
      </c>
    </row>
    <row r="25" spans="6:7" ht="16.5" customHeight="1">
      <c r="F25" s="1">
        <v>2.1</v>
      </c>
      <c r="G25" s="1">
        <f t="shared" si="1"/>
        <v>100</v>
      </c>
    </row>
    <row r="26" spans="6:7" ht="16.5" customHeight="1">
      <c r="F26" s="1">
        <v>2.2000000000000002</v>
      </c>
      <c r="G26" s="1">
        <f t="shared" si="1"/>
        <v>100</v>
      </c>
    </row>
    <row r="27" spans="6:7" ht="16.5" customHeight="1">
      <c r="F27" s="1">
        <v>2.2999999999999998</v>
      </c>
      <c r="G27" s="1">
        <f t="shared" si="1"/>
        <v>100</v>
      </c>
    </row>
    <row r="28" spans="6:7" ht="16.5" customHeight="1">
      <c r="F28" s="1">
        <v>2.4</v>
      </c>
      <c r="G28" s="1">
        <f t="shared" si="1"/>
        <v>100</v>
      </c>
    </row>
    <row r="29" spans="6:7" ht="16.5" customHeight="1">
      <c r="F29" s="1">
        <v>2.5</v>
      </c>
      <c r="G29" s="1">
        <f t="shared" si="1"/>
        <v>100</v>
      </c>
    </row>
    <row r="30" spans="6:7" ht="16.5" customHeight="1">
      <c r="F30" s="1">
        <v>2.6</v>
      </c>
      <c r="G30" s="1">
        <f t="shared" si="1"/>
        <v>100</v>
      </c>
    </row>
    <row r="31" spans="6:7" ht="16.5" customHeight="1">
      <c r="F31" s="1">
        <v>2.7</v>
      </c>
      <c r="G31" s="1">
        <f t="shared" si="1"/>
        <v>100</v>
      </c>
    </row>
    <row r="32" spans="6:7" ht="16.5" customHeight="1">
      <c r="F32" s="1">
        <v>2.8</v>
      </c>
      <c r="G32" s="1">
        <f t="shared" si="1"/>
        <v>100</v>
      </c>
    </row>
    <row r="33" spans="6:7" ht="16.5" customHeight="1">
      <c r="F33" s="1">
        <v>2.9</v>
      </c>
      <c r="G33" s="1">
        <f t="shared" si="1"/>
        <v>100</v>
      </c>
    </row>
    <row r="34" spans="6:7" ht="16.5" customHeight="1">
      <c r="F34" s="1">
        <v>3</v>
      </c>
      <c r="G34" s="1">
        <f t="shared" si="1"/>
        <v>100</v>
      </c>
    </row>
    <row r="35" spans="6:7" ht="16.5" customHeight="1"/>
    <row r="36" spans="6:7" ht="16.5" customHeight="1"/>
    <row r="37" spans="6:7" ht="16.5" customHeight="1"/>
    <row r="38" spans="6:7" ht="16.5" customHeight="1"/>
    <row r="39" spans="6:7" ht="16.5" customHeight="1"/>
    <row r="40" spans="6:7" ht="16.5" customHeight="1"/>
    <row r="41" spans="6:7" ht="16.5" customHeight="1"/>
    <row r="42" spans="6:7" ht="16.5" customHeight="1"/>
    <row r="43" spans="6:7" ht="16.5" customHeight="1"/>
    <row r="44" spans="6:7" ht="16.5" customHeight="1"/>
    <row r="45" spans="6:7" ht="16.5" customHeight="1"/>
    <row r="46" spans="6:7" ht="16.5" customHeight="1"/>
    <row r="47" spans="6:7" ht="16.5" customHeight="1"/>
    <row r="48" spans="6:7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phoneticPr fontId="27" type="noConversion"/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N984"/>
  <sheetViews>
    <sheetView topLeftCell="A10" workbookViewId="0">
      <selection activeCell="B25" sqref="B25"/>
    </sheetView>
  </sheetViews>
  <sheetFormatPr defaultColWidth="11.21875" defaultRowHeight="15" customHeight="1"/>
  <cols>
    <col min="1" max="1" width="6.77734375" customWidth="1"/>
    <col min="2" max="3" width="12.109375" customWidth="1"/>
    <col min="4" max="5" width="19.33203125" customWidth="1"/>
    <col min="6" max="6" width="30.6640625" customWidth="1"/>
    <col min="7" max="7" width="12.109375" customWidth="1"/>
    <col min="8" max="8" width="13.6640625" bestFit="1" customWidth="1"/>
    <col min="9" max="9" width="22" bestFit="1" customWidth="1"/>
    <col min="10" max="10" width="21" bestFit="1" customWidth="1"/>
    <col min="11" max="11" width="15.77734375" customWidth="1"/>
    <col min="12" max="14" width="15.6640625" customWidth="1"/>
    <col min="15" max="26" width="6.77734375" customWidth="1"/>
  </cols>
  <sheetData>
    <row r="1" spans="2:14" ht="16.5" customHeight="1">
      <c r="D1" s="4"/>
      <c r="E1" s="4"/>
      <c r="F1" s="4"/>
      <c r="G1" s="4"/>
      <c r="H1" s="317" t="s">
        <v>22</v>
      </c>
      <c r="I1" s="317" t="s">
        <v>23</v>
      </c>
      <c r="J1" s="317" t="s">
        <v>24</v>
      </c>
      <c r="K1" s="317" t="s">
        <v>25</v>
      </c>
      <c r="L1" s="318"/>
      <c r="M1" s="317" t="s">
        <v>26</v>
      </c>
      <c r="N1" s="318"/>
    </row>
    <row r="2" spans="2:14" ht="16.5" customHeight="1">
      <c r="G2" s="4"/>
      <c r="H2" s="318"/>
      <c r="I2" s="318"/>
      <c r="J2" s="318"/>
      <c r="K2" s="1" t="s">
        <v>27</v>
      </c>
      <c r="L2" s="1" t="s">
        <v>28</v>
      </c>
      <c r="M2" s="1" t="s">
        <v>13</v>
      </c>
      <c r="N2" s="1" t="s">
        <v>11</v>
      </c>
    </row>
    <row r="3" spans="2:14" ht="16.5" customHeight="1">
      <c r="B3" s="12" t="s">
        <v>29</v>
      </c>
      <c r="C3" s="336" t="s">
        <v>30</v>
      </c>
      <c r="D3" s="337"/>
      <c r="E3" s="338" t="s">
        <v>31</v>
      </c>
      <c r="F3" s="316"/>
      <c r="G3" s="2"/>
      <c r="H3" s="2">
        <v>0</v>
      </c>
      <c r="I3" s="2">
        <f t="shared" ref="I3:I27" si="0">0.0409*H3*44.01</f>
        <v>0</v>
      </c>
      <c r="J3" s="2">
        <f>44.01/22.4*H3*(273/(273+0))*101325/101325</f>
        <v>0</v>
      </c>
      <c r="K3" s="2">
        <f t="shared" ref="K3:K27" si="1">IF(H3&lt;=1200,200/2160*I3,200)</f>
        <v>0</v>
      </c>
      <c r="L3" s="2">
        <f t="shared" ref="L3:L27" si="2">IF(H3&lt;=1200,400/2160*I3,400)</f>
        <v>0</v>
      </c>
      <c r="M3" s="2">
        <f t="shared" ref="M3:M27" si="3">IF(H3&lt;=1200,200/2352*J3,200)</f>
        <v>0</v>
      </c>
      <c r="N3" s="2">
        <f t="shared" ref="N3:N27" si="4">IF(H3&lt;=1200,400/2352*J3,400)</f>
        <v>0</v>
      </c>
    </row>
    <row r="4" spans="2:14" ht="18.75" customHeight="1">
      <c r="B4" s="328" t="s">
        <v>28</v>
      </c>
      <c r="C4" s="329" t="s">
        <v>32</v>
      </c>
      <c r="D4" s="331" t="s">
        <v>33</v>
      </c>
      <c r="E4" s="333" t="s">
        <v>34</v>
      </c>
      <c r="F4" s="334" t="s">
        <v>35</v>
      </c>
      <c r="G4" s="5"/>
      <c r="H4" s="2">
        <v>100</v>
      </c>
      <c r="I4" s="2">
        <f t="shared" si="0"/>
        <v>180.00089999999997</v>
      </c>
      <c r="J4" s="2">
        <f t="shared" ref="J4:J27" si="5">44.01/22.4*H4*(273/(273+0))*101325/101325</f>
        <v>196.47321428571433</v>
      </c>
      <c r="K4" s="2">
        <f t="shared" si="1"/>
        <v>16.666749999999997</v>
      </c>
      <c r="L4" s="2">
        <f t="shared" si="2"/>
        <v>33.333499999999994</v>
      </c>
      <c r="M4" s="2">
        <f t="shared" si="3"/>
        <v>16.706905976676389</v>
      </c>
      <c r="N4" s="2">
        <f t="shared" si="4"/>
        <v>33.413811953352777</v>
      </c>
    </row>
    <row r="5" spans="2:14" ht="16.5" customHeight="1">
      <c r="B5" s="323"/>
      <c r="C5" s="330"/>
      <c r="D5" s="332"/>
      <c r="E5" s="332"/>
      <c r="F5" s="335"/>
      <c r="G5" s="2"/>
      <c r="H5" s="2">
        <v>200</v>
      </c>
      <c r="I5" s="2">
        <f t="shared" si="0"/>
        <v>360.00179999999995</v>
      </c>
      <c r="J5" s="2">
        <f>44.01/22.4*H5*(273/(273+0))*101325/101325</f>
        <v>392.94642857142867</v>
      </c>
      <c r="K5" s="2">
        <f t="shared" si="1"/>
        <v>33.333499999999994</v>
      </c>
      <c r="L5" s="2">
        <f t="shared" si="2"/>
        <v>66.666999999999987</v>
      </c>
      <c r="M5" s="2">
        <f t="shared" si="3"/>
        <v>33.413811953352777</v>
      </c>
      <c r="N5" s="2">
        <f t="shared" si="4"/>
        <v>66.827623906705554</v>
      </c>
    </row>
    <row r="6" spans="2:14" ht="16.5" customHeight="1">
      <c r="B6" s="324"/>
      <c r="C6" s="13">
        <v>25</v>
      </c>
      <c r="D6" s="14">
        <v>400</v>
      </c>
      <c r="E6" s="251">
        <f>D6*44.01/22.4*273/(273+C6)</f>
        <v>719.96224832214773</v>
      </c>
      <c r="F6" s="15">
        <f>_xlfn.IFS(B4="Low", IF($D$6&lt;=1200,200*E6/2352,200),B4="Std.",IF($D$6&lt;=1200,400/2352*E6,400) )</f>
        <v>122.44255923846049</v>
      </c>
      <c r="G6" s="2"/>
      <c r="H6" s="2">
        <v>300</v>
      </c>
      <c r="I6" s="2">
        <f t="shared" si="0"/>
        <v>540.0027</v>
      </c>
      <c r="J6" s="2">
        <f t="shared" si="5"/>
        <v>589.41964285714289</v>
      </c>
      <c r="K6" s="2">
        <f t="shared" si="1"/>
        <v>50.000249999999994</v>
      </c>
      <c r="L6" s="2">
        <f t="shared" si="2"/>
        <v>100.00049999999999</v>
      </c>
      <c r="M6" s="2">
        <f t="shared" si="3"/>
        <v>50.120717930029159</v>
      </c>
      <c r="N6" s="2">
        <f t="shared" si="4"/>
        <v>100.24143586005832</v>
      </c>
    </row>
    <row r="7" spans="2:14" ht="16.5" customHeight="1">
      <c r="D7" s="2"/>
      <c r="E7" s="29"/>
      <c r="F7" s="2"/>
      <c r="G7" s="2"/>
      <c r="H7" s="2">
        <v>400</v>
      </c>
      <c r="I7" s="2">
        <f t="shared" si="0"/>
        <v>720.00359999999989</v>
      </c>
      <c r="J7" s="2">
        <f t="shared" si="5"/>
        <v>785.89285714285734</v>
      </c>
      <c r="K7" s="2">
        <f t="shared" si="1"/>
        <v>66.666999999999987</v>
      </c>
      <c r="L7" s="2">
        <f t="shared" si="2"/>
        <v>133.33399999999997</v>
      </c>
      <c r="M7" s="2">
        <f t="shared" si="3"/>
        <v>66.827623906705554</v>
      </c>
      <c r="N7" s="2">
        <f t="shared" si="4"/>
        <v>133.65524781341111</v>
      </c>
    </row>
    <row r="8" spans="2:14" ht="16.5" customHeight="1">
      <c r="D8" s="2"/>
      <c r="E8" s="2"/>
      <c r="F8" s="2"/>
      <c r="G8" s="2"/>
      <c r="H8" s="2">
        <v>500</v>
      </c>
      <c r="I8" s="2">
        <f t="shared" si="0"/>
        <v>900.00449999999989</v>
      </c>
      <c r="J8" s="2">
        <f t="shared" si="5"/>
        <v>982.36607142857144</v>
      </c>
      <c r="K8" s="2">
        <f t="shared" si="1"/>
        <v>83.333749999999981</v>
      </c>
      <c r="L8" s="2">
        <f t="shared" si="2"/>
        <v>166.66749999999996</v>
      </c>
      <c r="M8" s="2">
        <f t="shared" si="3"/>
        <v>83.534529883381921</v>
      </c>
      <c r="N8" s="2">
        <f t="shared" si="4"/>
        <v>167.06905976676384</v>
      </c>
    </row>
    <row r="9" spans="2:14" ht="16.5" customHeight="1">
      <c r="D9" s="2"/>
      <c r="E9" s="2"/>
      <c r="F9" s="2"/>
      <c r="G9" s="2"/>
      <c r="H9" s="2">
        <v>600</v>
      </c>
      <c r="I9" s="2">
        <f t="shared" si="0"/>
        <v>1080.0054</v>
      </c>
      <c r="J9" s="2">
        <f t="shared" si="5"/>
        <v>1178.8392857142858</v>
      </c>
      <c r="K9" s="2">
        <f t="shared" si="1"/>
        <v>100.00049999999999</v>
      </c>
      <c r="L9" s="2">
        <f t="shared" si="2"/>
        <v>200.00099999999998</v>
      </c>
      <c r="M9" s="2">
        <f t="shared" si="3"/>
        <v>100.24143586005832</v>
      </c>
      <c r="N9" s="2">
        <f t="shared" si="4"/>
        <v>200.48287172011663</v>
      </c>
    </row>
    <row r="10" spans="2:14" ht="16.5" customHeight="1">
      <c r="D10" s="2"/>
      <c r="E10" s="2"/>
      <c r="F10" s="2"/>
      <c r="G10" s="2"/>
      <c r="H10" s="2">
        <v>700</v>
      </c>
      <c r="I10" s="2">
        <f t="shared" si="0"/>
        <v>1260.0063</v>
      </c>
      <c r="J10" s="2">
        <f t="shared" si="5"/>
        <v>1375.3125</v>
      </c>
      <c r="K10" s="2">
        <f t="shared" si="1"/>
        <v>116.66725</v>
      </c>
      <c r="L10" s="2">
        <f t="shared" si="2"/>
        <v>233.33449999999999</v>
      </c>
      <c r="M10" s="2">
        <f t="shared" si="3"/>
        <v>116.94834183673468</v>
      </c>
      <c r="N10" s="2">
        <f t="shared" si="4"/>
        <v>233.89668367346937</v>
      </c>
    </row>
    <row r="11" spans="2:14" ht="16.5" customHeight="1">
      <c r="D11" s="2"/>
      <c r="E11" s="2"/>
      <c r="F11" s="2"/>
      <c r="G11" s="2"/>
      <c r="H11" s="2">
        <v>800</v>
      </c>
      <c r="I11" s="2">
        <f t="shared" si="0"/>
        <v>1440.0071999999998</v>
      </c>
      <c r="J11" s="2">
        <f t="shared" si="5"/>
        <v>1571.7857142857147</v>
      </c>
      <c r="K11" s="2">
        <f t="shared" si="1"/>
        <v>133.33399999999997</v>
      </c>
      <c r="L11" s="2">
        <f t="shared" si="2"/>
        <v>266.66799999999995</v>
      </c>
      <c r="M11" s="2">
        <f t="shared" si="3"/>
        <v>133.65524781341111</v>
      </c>
      <c r="N11" s="2">
        <f t="shared" si="4"/>
        <v>267.31049562682222</v>
      </c>
    </row>
    <row r="12" spans="2:14" ht="16.5" customHeight="1">
      <c r="D12" s="2"/>
      <c r="E12" s="2"/>
      <c r="F12" s="2"/>
      <c r="G12" s="2"/>
      <c r="H12" s="2">
        <v>900</v>
      </c>
      <c r="I12" s="2">
        <f t="shared" si="0"/>
        <v>1620.0081</v>
      </c>
      <c r="J12" s="2">
        <f t="shared" si="5"/>
        <v>1768.2589285714287</v>
      </c>
      <c r="K12" s="2">
        <f t="shared" si="1"/>
        <v>150.00074999999998</v>
      </c>
      <c r="L12" s="2">
        <f t="shared" si="2"/>
        <v>300.00149999999996</v>
      </c>
      <c r="M12" s="2">
        <f t="shared" si="3"/>
        <v>150.36215379008746</v>
      </c>
      <c r="N12" s="2">
        <f t="shared" si="4"/>
        <v>300.72430758017492</v>
      </c>
    </row>
    <row r="13" spans="2:14" ht="16.5" customHeight="1">
      <c r="D13" s="2"/>
      <c r="E13" s="2"/>
      <c r="F13" s="2"/>
      <c r="G13" s="2"/>
      <c r="H13" s="2">
        <v>1000</v>
      </c>
      <c r="I13" s="2">
        <f t="shared" si="0"/>
        <v>1800.0089999999998</v>
      </c>
      <c r="J13" s="2">
        <f t="shared" si="5"/>
        <v>1964.7321428571429</v>
      </c>
      <c r="K13" s="2">
        <f t="shared" si="1"/>
        <v>166.66749999999996</v>
      </c>
      <c r="L13" s="2">
        <f t="shared" si="2"/>
        <v>333.33499999999992</v>
      </c>
      <c r="M13" s="2">
        <f t="shared" si="3"/>
        <v>167.06905976676384</v>
      </c>
      <c r="N13" s="2">
        <f t="shared" si="4"/>
        <v>334.13811953352769</v>
      </c>
    </row>
    <row r="14" spans="2:14" ht="16.5" customHeight="1">
      <c r="D14" s="2"/>
      <c r="E14" s="2"/>
      <c r="F14" s="2"/>
      <c r="G14" s="2"/>
      <c r="H14" s="2">
        <v>1100</v>
      </c>
      <c r="I14" s="2">
        <f t="shared" si="0"/>
        <v>1980.0099</v>
      </c>
      <c r="J14" s="2">
        <f t="shared" si="5"/>
        <v>2161.2053571428573</v>
      </c>
      <c r="K14" s="2">
        <f t="shared" si="1"/>
        <v>183.33425</v>
      </c>
      <c r="L14" s="2">
        <f t="shared" si="2"/>
        <v>366.66849999999999</v>
      </c>
      <c r="M14" s="2">
        <f t="shared" si="3"/>
        <v>183.77596574344025</v>
      </c>
      <c r="N14" s="2">
        <f t="shared" si="4"/>
        <v>367.55193148688051</v>
      </c>
    </row>
    <row r="15" spans="2:14" ht="16.5" customHeight="1">
      <c r="D15" s="2"/>
      <c r="E15" s="2"/>
      <c r="F15" s="2"/>
      <c r="G15" s="2"/>
      <c r="H15" s="2">
        <v>1200</v>
      </c>
      <c r="I15" s="2">
        <f>0.0409*H15*44.01</f>
        <v>2160.0108</v>
      </c>
      <c r="J15" s="2">
        <f t="shared" si="5"/>
        <v>2357.6785714285716</v>
      </c>
      <c r="K15" s="2">
        <f t="shared" si="1"/>
        <v>200.00099999999998</v>
      </c>
      <c r="L15" s="2">
        <f t="shared" si="2"/>
        <v>400.00199999999995</v>
      </c>
      <c r="M15" s="2">
        <f t="shared" si="3"/>
        <v>200.48287172011663</v>
      </c>
      <c r="N15" s="2">
        <f t="shared" si="4"/>
        <v>400.96574344023327</v>
      </c>
    </row>
    <row r="16" spans="2:14" ht="16.5" customHeight="1">
      <c r="D16" s="2"/>
      <c r="E16" s="2"/>
      <c r="F16" s="2"/>
      <c r="G16" s="2"/>
      <c r="H16" s="2">
        <v>1300</v>
      </c>
      <c r="I16" s="2">
        <f t="shared" si="0"/>
        <v>2340.0117</v>
      </c>
      <c r="J16" s="2">
        <f t="shared" si="5"/>
        <v>2554.1517857142858</v>
      </c>
      <c r="K16" s="2">
        <f t="shared" si="1"/>
        <v>200</v>
      </c>
      <c r="L16" s="2">
        <f t="shared" si="2"/>
        <v>400</v>
      </c>
      <c r="M16" s="2">
        <f t="shared" si="3"/>
        <v>200</v>
      </c>
      <c r="N16" s="2">
        <f t="shared" si="4"/>
        <v>400</v>
      </c>
    </row>
    <row r="17" spans="2:14" ht="16.5" customHeight="1">
      <c r="D17" s="2"/>
      <c r="E17" s="2"/>
      <c r="F17" s="2"/>
      <c r="G17" s="2"/>
      <c r="H17" s="2">
        <v>1400</v>
      </c>
      <c r="I17" s="2">
        <f t="shared" si="0"/>
        <v>2520.0126</v>
      </c>
      <c r="J17" s="2">
        <f t="shared" si="5"/>
        <v>2750.625</v>
      </c>
      <c r="K17" s="2">
        <f t="shared" si="1"/>
        <v>200</v>
      </c>
      <c r="L17" s="2">
        <f t="shared" si="2"/>
        <v>400</v>
      </c>
      <c r="M17" s="2">
        <f t="shared" si="3"/>
        <v>200</v>
      </c>
      <c r="N17" s="2">
        <f t="shared" si="4"/>
        <v>400</v>
      </c>
    </row>
    <row r="18" spans="2:14" ht="16.5" customHeight="1">
      <c r="D18" s="2"/>
      <c r="E18" s="2"/>
      <c r="F18" s="2"/>
      <c r="G18" s="2"/>
      <c r="H18" s="2">
        <v>1500</v>
      </c>
      <c r="I18" s="2">
        <f t="shared" si="0"/>
        <v>2700.0135</v>
      </c>
      <c r="J18" s="2">
        <f t="shared" si="5"/>
        <v>2947.0982142857142</v>
      </c>
      <c r="K18" s="2">
        <f t="shared" si="1"/>
        <v>200</v>
      </c>
      <c r="L18" s="2">
        <f t="shared" si="2"/>
        <v>400</v>
      </c>
      <c r="M18" s="2">
        <f t="shared" si="3"/>
        <v>200</v>
      </c>
      <c r="N18" s="2">
        <f t="shared" si="4"/>
        <v>400</v>
      </c>
    </row>
    <row r="19" spans="2:14" ht="16.5" customHeight="1">
      <c r="D19" s="2"/>
      <c r="E19" s="2"/>
      <c r="F19" s="2"/>
      <c r="G19" s="2"/>
      <c r="H19" s="2">
        <v>1600</v>
      </c>
      <c r="I19" s="2">
        <f t="shared" si="0"/>
        <v>2880.0143999999996</v>
      </c>
      <c r="J19" s="2">
        <f t="shared" si="5"/>
        <v>3143.5714285714294</v>
      </c>
      <c r="K19" s="2">
        <f t="shared" si="1"/>
        <v>200</v>
      </c>
      <c r="L19" s="2">
        <f t="shared" si="2"/>
        <v>400</v>
      </c>
      <c r="M19" s="2">
        <f t="shared" si="3"/>
        <v>200</v>
      </c>
      <c r="N19" s="2">
        <f t="shared" si="4"/>
        <v>400</v>
      </c>
    </row>
    <row r="20" spans="2:14" ht="16.5" customHeight="1">
      <c r="D20" s="2"/>
      <c r="E20" s="2"/>
      <c r="F20" s="2"/>
      <c r="G20" s="2"/>
      <c r="H20" s="2">
        <v>1700</v>
      </c>
      <c r="I20" s="2">
        <f t="shared" si="0"/>
        <v>3060.0153</v>
      </c>
      <c r="J20" s="2">
        <f t="shared" si="5"/>
        <v>3340.0446428571427</v>
      </c>
      <c r="K20" s="2">
        <f t="shared" si="1"/>
        <v>200</v>
      </c>
      <c r="L20" s="2">
        <f t="shared" si="2"/>
        <v>400</v>
      </c>
      <c r="M20" s="2">
        <f t="shared" si="3"/>
        <v>200</v>
      </c>
      <c r="N20" s="2">
        <f t="shared" si="4"/>
        <v>400</v>
      </c>
    </row>
    <row r="21" spans="2:14" ht="16.5" customHeight="1">
      <c r="D21" s="2"/>
      <c r="E21" s="2"/>
      <c r="F21" s="2"/>
      <c r="G21" s="2"/>
      <c r="H21" s="2">
        <v>1800</v>
      </c>
      <c r="I21" s="2">
        <f t="shared" si="0"/>
        <v>3240.0162</v>
      </c>
      <c r="J21" s="2">
        <f t="shared" si="5"/>
        <v>3536.5178571428573</v>
      </c>
      <c r="K21" s="2">
        <f t="shared" si="1"/>
        <v>200</v>
      </c>
      <c r="L21" s="2">
        <f t="shared" si="2"/>
        <v>400</v>
      </c>
      <c r="M21" s="2">
        <f t="shared" si="3"/>
        <v>200</v>
      </c>
      <c r="N21" s="2">
        <f t="shared" si="4"/>
        <v>400</v>
      </c>
    </row>
    <row r="22" spans="2:14" ht="16.5" customHeight="1">
      <c r="D22" s="2"/>
      <c r="E22" s="2"/>
      <c r="F22" s="2"/>
      <c r="G22" s="2"/>
      <c r="H22" s="2">
        <v>1900</v>
      </c>
      <c r="I22" s="2">
        <f t="shared" si="0"/>
        <v>3420.0170999999996</v>
      </c>
      <c r="J22" s="2">
        <f t="shared" si="5"/>
        <v>3732.9910714285716</v>
      </c>
      <c r="K22" s="2">
        <f t="shared" si="1"/>
        <v>200</v>
      </c>
      <c r="L22" s="2">
        <f t="shared" si="2"/>
        <v>400</v>
      </c>
      <c r="M22" s="2">
        <f t="shared" si="3"/>
        <v>200</v>
      </c>
      <c r="N22" s="2">
        <f t="shared" si="4"/>
        <v>400</v>
      </c>
    </row>
    <row r="23" spans="2:14" ht="16.5" customHeight="1">
      <c r="D23" s="2"/>
      <c r="E23" s="2"/>
      <c r="F23" s="2"/>
      <c r="G23" s="2"/>
      <c r="H23" s="2">
        <v>2000</v>
      </c>
      <c r="I23" s="2">
        <f t="shared" si="0"/>
        <v>3600.0179999999996</v>
      </c>
      <c r="J23" s="2">
        <f t="shared" si="5"/>
        <v>3929.4642857142858</v>
      </c>
      <c r="K23" s="2">
        <f t="shared" si="1"/>
        <v>200</v>
      </c>
      <c r="L23" s="2">
        <f t="shared" si="2"/>
        <v>400</v>
      </c>
      <c r="M23" s="2">
        <f t="shared" si="3"/>
        <v>200</v>
      </c>
      <c r="N23" s="2">
        <f t="shared" si="4"/>
        <v>400</v>
      </c>
    </row>
    <row r="24" spans="2:14" ht="16.5" customHeight="1">
      <c r="D24" s="2"/>
      <c r="E24" s="2"/>
      <c r="F24" s="2"/>
      <c r="G24" s="2"/>
      <c r="H24" s="2">
        <v>2100</v>
      </c>
      <c r="I24" s="2">
        <f t="shared" si="0"/>
        <v>3780.0189</v>
      </c>
      <c r="J24" s="2">
        <f t="shared" si="5"/>
        <v>4125.9375</v>
      </c>
      <c r="K24" s="2">
        <f t="shared" si="1"/>
        <v>200</v>
      </c>
      <c r="L24" s="2">
        <f t="shared" si="2"/>
        <v>400</v>
      </c>
      <c r="M24" s="2">
        <f t="shared" si="3"/>
        <v>200</v>
      </c>
      <c r="N24" s="2">
        <f t="shared" si="4"/>
        <v>400</v>
      </c>
    </row>
    <row r="25" spans="2:14" ht="16.5" customHeight="1">
      <c r="D25" s="2"/>
      <c r="E25" s="2"/>
      <c r="F25" s="2"/>
      <c r="G25" s="2"/>
      <c r="H25" s="2">
        <v>2200</v>
      </c>
      <c r="I25" s="2">
        <f t="shared" si="0"/>
        <v>3960.0198</v>
      </c>
      <c r="J25" s="2">
        <f t="shared" si="5"/>
        <v>4322.4107142857147</v>
      </c>
      <c r="K25" s="2">
        <f t="shared" si="1"/>
        <v>200</v>
      </c>
      <c r="L25" s="2">
        <f t="shared" si="2"/>
        <v>400</v>
      </c>
      <c r="M25" s="2">
        <f t="shared" si="3"/>
        <v>200</v>
      </c>
      <c r="N25" s="2">
        <f t="shared" si="4"/>
        <v>400</v>
      </c>
    </row>
    <row r="26" spans="2:14" ht="16.5" customHeight="1">
      <c r="D26" s="2"/>
      <c r="E26" s="2"/>
      <c r="F26" s="2"/>
      <c r="G26" s="2"/>
      <c r="H26" s="2">
        <v>2300</v>
      </c>
      <c r="I26" s="2">
        <f t="shared" si="0"/>
        <v>4140.0206999999991</v>
      </c>
      <c r="J26" s="2">
        <f t="shared" si="5"/>
        <v>4518.8839285714284</v>
      </c>
      <c r="K26" s="2">
        <f t="shared" si="1"/>
        <v>200</v>
      </c>
      <c r="L26" s="2">
        <f t="shared" si="2"/>
        <v>400</v>
      </c>
      <c r="M26" s="2">
        <f t="shared" si="3"/>
        <v>200</v>
      </c>
      <c r="N26" s="2">
        <f t="shared" si="4"/>
        <v>400</v>
      </c>
    </row>
    <row r="27" spans="2:14" ht="16.5" customHeight="1">
      <c r="D27" s="2"/>
      <c r="E27" s="2"/>
      <c r="F27" s="2"/>
      <c r="G27" s="2"/>
      <c r="H27" s="2">
        <v>2400</v>
      </c>
      <c r="I27" s="2">
        <f t="shared" si="0"/>
        <v>4320.0216</v>
      </c>
      <c r="J27" s="2">
        <f t="shared" si="5"/>
        <v>4715.3571428571431</v>
      </c>
      <c r="K27" s="2">
        <f t="shared" si="1"/>
        <v>200</v>
      </c>
      <c r="L27" s="2">
        <f t="shared" si="2"/>
        <v>400</v>
      </c>
      <c r="M27" s="2">
        <f t="shared" si="3"/>
        <v>200</v>
      </c>
      <c r="N27" s="2">
        <f t="shared" si="4"/>
        <v>400</v>
      </c>
    </row>
    <row r="28" spans="2:14" ht="16.5" customHeight="1"/>
    <row r="29" spans="2:14" ht="16.5" customHeight="1"/>
    <row r="30" spans="2:14" ht="16.5" customHeight="1"/>
    <row r="31" spans="2:14" ht="16.5" customHeight="1">
      <c r="B31" s="250" t="s">
        <v>343</v>
      </c>
    </row>
    <row r="32" spans="2:14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</sheetData>
  <mergeCells count="12">
    <mergeCell ref="K1:L1"/>
    <mergeCell ref="M1:N1"/>
    <mergeCell ref="B4:B6"/>
    <mergeCell ref="C4:C5"/>
    <mergeCell ref="D4:D5"/>
    <mergeCell ref="E4:E5"/>
    <mergeCell ref="F4:F5"/>
    <mergeCell ref="C3:D3"/>
    <mergeCell ref="E3:F3"/>
    <mergeCell ref="H1:H2"/>
    <mergeCell ref="I1:I2"/>
    <mergeCell ref="J1:J2"/>
  </mergeCells>
  <phoneticPr fontId="27" type="noConversion"/>
  <dataValidations disablePrompts="1" count="1">
    <dataValidation type="list" allowBlank="1" showErrorMessage="1" sqref="B4" xr:uid="{00000000-0002-0000-0300-000000000000}">
      <formula1>$K$2:$L$2</formula1>
    </dataValidation>
  </dataValidation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Q1000"/>
  <sheetViews>
    <sheetView topLeftCell="D1" workbookViewId="0">
      <selection activeCell="J5" sqref="J5"/>
    </sheetView>
  </sheetViews>
  <sheetFormatPr defaultColWidth="11.21875" defaultRowHeight="15" customHeight="1"/>
  <cols>
    <col min="1" max="2" width="6.77734375" customWidth="1"/>
    <col min="3" max="3" width="14.88671875" customWidth="1"/>
    <col min="4" max="4" width="17.44140625" customWidth="1"/>
    <col min="5" max="5" width="14.5546875" customWidth="1"/>
    <col min="6" max="6" width="17.21875" customWidth="1"/>
    <col min="7" max="7" width="10.6640625" customWidth="1"/>
    <col min="8" max="8" width="17.109375" customWidth="1"/>
    <col min="9" max="9" width="15.77734375" customWidth="1"/>
    <col min="10" max="10" width="20.5546875" bestFit="1" customWidth="1"/>
    <col min="11" max="11" width="18.21875" customWidth="1"/>
    <col min="12" max="12" width="11.109375" customWidth="1"/>
    <col min="13" max="13" width="11.33203125" customWidth="1"/>
    <col min="14" max="14" width="9.6640625" customWidth="1"/>
    <col min="15" max="15" width="13.6640625" customWidth="1"/>
    <col min="16" max="16" width="8.21875" customWidth="1"/>
    <col min="17" max="17" width="13" customWidth="1"/>
    <col min="18" max="26" width="6.77734375" customWidth="1"/>
  </cols>
  <sheetData>
    <row r="1" spans="3:17" ht="16.5" customHeight="1"/>
    <row r="2" spans="3:17" ht="18.75" customHeight="1">
      <c r="C2" s="342" t="s">
        <v>36</v>
      </c>
      <c r="D2" s="344" t="s">
        <v>37</v>
      </c>
      <c r="E2" s="345" t="s">
        <v>38</v>
      </c>
      <c r="F2" s="315"/>
      <c r="G2" s="315"/>
      <c r="H2" s="315"/>
      <c r="I2" s="337"/>
      <c r="J2" s="346" t="s">
        <v>39</v>
      </c>
      <c r="K2" s="315"/>
      <c r="L2" s="315"/>
      <c r="M2" s="315"/>
      <c r="N2" s="315"/>
      <c r="O2" s="315"/>
      <c r="P2" s="315"/>
      <c r="Q2" s="316"/>
    </row>
    <row r="3" spans="3:17" ht="18.75" customHeight="1">
      <c r="C3" s="323"/>
      <c r="D3" s="310"/>
      <c r="E3" s="347" t="s">
        <v>40</v>
      </c>
      <c r="F3" s="347" t="s">
        <v>41</v>
      </c>
      <c r="G3" s="347" t="s">
        <v>42</v>
      </c>
      <c r="H3" s="347" t="s">
        <v>43</v>
      </c>
      <c r="I3" s="347" t="s">
        <v>44</v>
      </c>
      <c r="J3" s="347" t="s">
        <v>45</v>
      </c>
      <c r="K3" s="349" t="s">
        <v>46</v>
      </c>
      <c r="L3" s="339" t="s">
        <v>47</v>
      </c>
      <c r="M3" s="339" t="s">
        <v>48</v>
      </c>
      <c r="N3" s="340" t="s">
        <v>49</v>
      </c>
      <c r="O3" s="341"/>
      <c r="P3" s="339" t="s">
        <v>50</v>
      </c>
      <c r="Q3" s="348" t="s">
        <v>51</v>
      </c>
    </row>
    <row r="4" spans="3:17" ht="16.5" customHeight="1">
      <c r="C4" s="343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16" t="s">
        <v>52</v>
      </c>
      <c r="O4" s="16" t="s">
        <v>53</v>
      </c>
      <c r="P4" s="332"/>
      <c r="Q4" s="335"/>
    </row>
    <row r="5" spans="3:17" ht="16.5" customHeight="1">
      <c r="C5" s="226" t="s">
        <v>301</v>
      </c>
      <c r="D5" s="17" t="s">
        <v>28</v>
      </c>
      <c r="E5" s="18">
        <v>25</v>
      </c>
      <c r="F5" s="19">
        <v>0.9</v>
      </c>
      <c r="G5" s="18">
        <v>1</v>
      </c>
      <c r="H5" s="18">
        <v>400</v>
      </c>
      <c r="I5" s="20">
        <v>400</v>
      </c>
      <c r="J5" s="260">
        <f>$I$5*44.01/22.4*273/(273+$E$5)</f>
        <v>719.96224832214773</v>
      </c>
      <c r="K5" s="21">
        <f>0.61078*EXP(17.269*$E$5/(237.3+$E$5))</f>
        <v>3.1673720930966622</v>
      </c>
      <c r="L5" s="22">
        <f>(2166/(273.16+$E$5))*$K$5*1*1000</f>
        <v>23009.551762970787</v>
      </c>
      <c r="M5" s="22">
        <f>(2166/(273.16+$E$5))*$K$5*$F$5*1000</f>
        <v>20708.59658667371</v>
      </c>
      <c r="N5" s="22" t="e">
        <f ca="1">_xludf.IFS($C$5="high",IF($H$5&lt;=80,(300-1400)/80*$H$5+1400,300),$C$5="std.",IF($H$5&lt;=80,(200-1200)/80*$H$5+1200,200),$C$5="low",IF($H$5&lt;=80,(100-1000)/80*$H$5+1000,100))</f>
        <v>#NAME?</v>
      </c>
      <c r="O5" s="23" t="e">
        <f ca="1">_xludf.IFS($D$5="Low", IF(I5&lt;=1200,200/2352*$J$5,200),D5="Std.",IF($I$5&lt;=1200,400/2352*$J$5,400) )</f>
        <v>#NAME?</v>
      </c>
      <c r="P5" s="24">
        <f>IF($G$5&lt;=1,(100-200)/1*$G$5+200,100)</f>
        <v>100</v>
      </c>
      <c r="Q5" s="25" t="e">
        <f ca="1">(L5-M5)/(N5+O5+P5)</f>
        <v>#NAME?</v>
      </c>
    </row>
    <row r="6" spans="3:17" ht="16.5" customHeight="1"/>
    <row r="7" spans="3:17" ht="16.5" customHeight="1"/>
    <row r="8" spans="3:17" ht="16.5" customHeight="1">
      <c r="Q8" s="1" t="s">
        <v>5</v>
      </c>
    </row>
    <row r="9" spans="3:17" ht="16.5" customHeight="1"/>
    <row r="10" spans="3:17" ht="16.5" customHeight="1"/>
    <row r="11" spans="3:17" ht="16.5" customHeight="1"/>
    <row r="12" spans="3:17" ht="16.5" customHeight="1"/>
    <row r="13" spans="3:17" ht="16.5" customHeight="1"/>
    <row r="14" spans="3:17" ht="16.5" customHeight="1"/>
    <row r="15" spans="3:17" ht="16.5" customHeight="1"/>
    <row r="16" spans="3:17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16">
    <mergeCell ref="M3:M4"/>
    <mergeCell ref="N3:O3"/>
    <mergeCell ref="P3:P4"/>
    <mergeCell ref="C2:C4"/>
    <mergeCell ref="D2:D4"/>
    <mergeCell ref="E2:I2"/>
    <mergeCell ref="J2:Q2"/>
    <mergeCell ref="E3:E4"/>
    <mergeCell ref="F3:F4"/>
    <mergeCell ref="G3:G4"/>
    <mergeCell ref="Q3:Q4"/>
    <mergeCell ref="H3:H4"/>
    <mergeCell ref="I3:I4"/>
    <mergeCell ref="J3:J4"/>
    <mergeCell ref="K3:K4"/>
    <mergeCell ref="L3:L4"/>
  </mergeCells>
  <phoneticPr fontId="27" type="noConversion"/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400-000000000000}">
          <x14:formula1>
            <xm:f>'Chap 4 Rlv'!$H$3:$J$3</xm:f>
          </x14:formula1>
          <xm:sqref>C5</xm:sqref>
        </x14:dataValidation>
        <x14:dataValidation type="list" allowBlank="1" showErrorMessage="1" xr:uid="{00000000-0002-0000-0400-000001000000}">
          <x14:formula1>
            <xm:f>'Chap 6 Rlv inc.'!$K$2:$L$2</xm:f>
          </x14:formula1>
          <xm:sqref>D5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D1000"/>
  <sheetViews>
    <sheetView topLeftCell="A22" workbookViewId="0">
      <selection activeCell="O15" sqref="O15"/>
    </sheetView>
  </sheetViews>
  <sheetFormatPr defaultColWidth="11.21875" defaultRowHeight="15" customHeight="1"/>
  <cols>
    <col min="1" max="26" width="6.77734375" customWidth="1"/>
  </cols>
  <sheetData>
    <row r="1" ht="16.5" customHeight="1"/>
    <row r="2" ht="16.5" customHeight="1"/>
    <row r="3" ht="16.5" customHeight="1"/>
    <row r="4" ht="16.5" customHeight="1"/>
    <row r="5" ht="16.5" customHeight="1"/>
    <row r="6" ht="16.5" customHeight="1"/>
    <row r="7" ht="16.5" customHeight="1"/>
    <row r="8" ht="16.5" customHeight="1"/>
    <row r="9" ht="16.5" customHeight="1"/>
    <row r="10" ht="16.5" customHeight="1"/>
    <row r="11" ht="16.5" customHeight="1"/>
    <row r="12" ht="16.5" customHeight="1"/>
    <row r="13" ht="16.5" customHeight="1"/>
    <row r="14" ht="16.5" customHeight="1"/>
    <row r="15" ht="16.5" customHeight="1"/>
    <row r="1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spans="3:4" ht="16.5" customHeight="1"/>
    <row r="34" spans="3:4" ht="16.5" customHeight="1">
      <c r="C34" s="1" t="s">
        <v>54</v>
      </c>
      <c r="D34" s="1" t="s">
        <v>55</v>
      </c>
    </row>
    <row r="35" spans="3:4" ht="16.5" customHeight="1">
      <c r="C35" s="1" t="s">
        <v>56</v>
      </c>
      <c r="D35" s="1" t="s">
        <v>57</v>
      </c>
    </row>
    <row r="36" spans="3:4" ht="16.5" customHeight="1"/>
    <row r="37" spans="3:4" ht="16.5" customHeight="1">
      <c r="C37" s="1" t="s">
        <v>58</v>
      </c>
    </row>
    <row r="38" spans="3:4" ht="16.5" customHeight="1"/>
    <row r="39" spans="3:4" ht="16.5" customHeight="1"/>
    <row r="40" spans="3:4" ht="16.5" customHeight="1"/>
    <row r="41" spans="3:4" ht="16.5" customHeight="1"/>
    <row r="42" spans="3:4" ht="16.5" customHeight="1"/>
    <row r="43" spans="3:4" ht="16.5" customHeight="1"/>
    <row r="44" spans="3:4" ht="16.5" customHeight="1"/>
    <row r="45" spans="3:4" ht="16.5" customHeight="1"/>
    <row r="46" spans="3:4" ht="16.5" customHeight="1"/>
    <row r="47" spans="3:4" ht="16.5" customHeight="1"/>
    <row r="48" spans="3: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phoneticPr fontId="27" type="noConversion"/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D1000"/>
  <sheetViews>
    <sheetView workbookViewId="0"/>
  </sheetViews>
  <sheetFormatPr defaultColWidth="11.21875" defaultRowHeight="15" customHeight="1"/>
  <cols>
    <col min="1" max="2" width="6.77734375" customWidth="1"/>
    <col min="3" max="3" width="8.44140625" customWidth="1"/>
    <col min="4" max="4" width="7.33203125" customWidth="1"/>
    <col min="5" max="26" width="6.77734375" customWidth="1"/>
  </cols>
  <sheetData>
    <row r="1" spans="2:4" ht="16.5" customHeight="1">
      <c r="B1" s="26" t="s">
        <v>59</v>
      </c>
      <c r="C1" s="26" t="s">
        <v>60</v>
      </c>
      <c r="D1" s="26" t="s">
        <v>61</v>
      </c>
    </row>
    <row r="2" spans="2:4" ht="16.5" customHeight="1">
      <c r="B2" s="1">
        <v>100</v>
      </c>
      <c r="C2" s="1">
        <v>0</v>
      </c>
      <c r="D2" s="3">
        <v>0</v>
      </c>
    </row>
    <row r="3" spans="2:4" ht="16.5" customHeight="1">
      <c r="B3" s="1">
        <v>100</v>
      </c>
      <c r="C3" s="1">
        <v>100</v>
      </c>
      <c r="D3" s="3">
        <f t="shared" ref="D3:D22" si="0">1/(1+(B3/C3))</f>
        <v>0.5</v>
      </c>
    </row>
    <row r="4" spans="2:4" ht="16.5" customHeight="1">
      <c r="B4" s="1">
        <v>100</v>
      </c>
      <c r="C4" s="1">
        <v>150</v>
      </c>
      <c r="D4" s="3">
        <f t="shared" si="0"/>
        <v>0.60000000000000009</v>
      </c>
    </row>
    <row r="5" spans="2:4" ht="16.5" customHeight="1">
      <c r="B5" s="1">
        <v>100</v>
      </c>
      <c r="C5" s="1">
        <v>200</v>
      </c>
      <c r="D5" s="3">
        <f t="shared" si="0"/>
        <v>0.66666666666666663</v>
      </c>
    </row>
    <row r="6" spans="2:4" ht="16.5" customHeight="1">
      <c r="B6" s="1">
        <v>100</v>
      </c>
      <c r="C6" s="1">
        <v>275</v>
      </c>
      <c r="D6" s="3">
        <f t="shared" si="0"/>
        <v>0.73333333333333328</v>
      </c>
    </row>
    <row r="7" spans="2:4" ht="16.5" customHeight="1">
      <c r="B7" s="1">
        <v>100</v>
      </c>
      <c r="C7" s="1">
        <v>340</v>
      </c>
      <c r="D7" s="3">
        <f t="shared" si="0"/>
        <v>0.77272727272727271</v>
      </c>
    </row>
    <row r="8" spans="2:4" ht="16.5" customHeight="1">
      <c r="B8" s="1">
        <v>100</v>
      </c>
      <c r="C8" s="1">
        <v>405</v>
      </c>
      <c r="D8" s="3">
        <f t="shared" si="0"/>
        <v>0.80198019801980203</v>
      </c>
    </row>
    <row r="9" spans="2:4" ht="16.5" customHeight="1">
      <c r="B9" s="1">
        <v>100</v>
      </c>
      <c r="C9" s="1">
        <v>470</v>
      </c>
      <c r="D9" s="3">
        <f t="shared" si="0"/>
        <v>0.82456140350877183</v>
      </c>
    </row>
    <row r="10" spans="2:4" ht="16.5" customHeight="1">
      <c r="B10" s="1">
        <v>100</v>
      </c>
      <c r="C10" s="1">
        <v>535</v>
      </c>
      <c r="D10" s="3">
        <f t="shared" si="0"/>
        <v>0.84251968503937003</v>
      </c>
    </row>
    <row r="11" spans="2:4" ht="16.5" customHeight="1">
      <c r="B11" s="1">
        <v>100</v>
      </c>
      <c r="C11" s="1">
        <v>600</v>
      </c>
      <c r="D11" s="3">
        <f t="shared" si="0"/>
        <v>0.8571428571428571</v>
      </c>
    </row>
    <row r="12" spans="2:4" ht="16.5" customHeight="1">
      <c r="B12" s="1">
        <v>100</v>
      </c>
      <c r="C12" s="1">
        <v>665</v>
      </c>
      <c r="D12" s="3">
        <f t="shared" si="0"/>
        <v>0.86928104575163401</v>
      </c>
    </row>
    <row r="13" spans="2:4" ht="16.5" customHeight="1">
      <c r="B13" s="1">
        <v>100</v>
      </c>
      <c r="C13" s="1">
        <v>730</v>
      </c>
      <c r="D13" s="3">
        <f t="shared" si="0"/>
        <v>0.87951807228915657</v>
      </c>
    </row>
    <row r="14" spans="2:4" ht="16.5" customHeight="1">
      <c r="B14" s="1">
        <v>100</v>
      </c>
      <c r="C14" s="1">
        <v>795</v>
      </c>
      <c r="D14" s="3">
        <f t="shared" si="0"/>
        <v>0.88826815642458101</v>
      </c>
    </row>
    <row r="15" spans="2:4" ht="16.5" customHeight="1">
      <c r="B15" s="1">
        <v>100</v>
      </c>
      <c r="C15" s="1">
        <v>860</v>
      </c>
      <c r="D15" s="3">
        <f t="shared" si="0"/>
        <v>0.89583333333333337</v>
      </c>
    </row>
    <row r="16" spans="2:4" ht="16.5" customHeight="1">
      <c r="B16" s="1">
        <v>100</v>
      </c>
      <c r="C16" s="1">
        <v>925</v>
      </c>
      <c r="D16" s="3">
        <f t="shared" si="0"/>
        <v>0.90243902439024393</v>
      </c>
    </row>
    <row r="17" spans="2:4" ht="16.5" customHeight="1">
      <c r="B17" s="1">
        <v>100</v>
      </c>
      <c r="C17" s="1">
        <v>990</v>
      </c>
      <c r="D17" s="3">
        <f t="shared" si="0"/>
        <v>0.90825688073394495</v>
      </c>
    </row>
    <row r="18" spans="2:4" ht="16.5" customHeight="1">
      <c r="B18" s="1">
        <v>100</v>
      </c>
      <c r="C18" s="1">
        <v>1055</v>
      </c>
      <c r="D18" s="3">
        <f t="shared" si="0"/>
        <v>0.91341991341991335</v>
      </c>
    </row>
    <row r="19" spans="2:4" ht="16.5" customHeight="1">
      <c r="B19" s="1">
        <v>100</v>
      </c>
      <c r="C19" s="1">
        <v>1120</v>
      </c>
      <c r="D19" s="3">
        <f t="shared" si="0"/>
        <v>0.91803278688524603</v>
      </c>
    </row>
    <row r="20" spans="2:4" ht="16.5" customHeight="1">
      <c r="B20" s="1">
        <v>100</v>
      </c>
      <c r="C20" s="1">
        <v>1185</v>
      </c>
      <c r="D20" s="3">
        <f t="shared" si="0"/>
        <v>0.92217898832684819</v>
      </c>
    </row>
    <row r="21" spans="2:4" ht="16.5" customHeight="1">
      <c r="B21" s="1">
        <v>100</v>
      </c>
      <c r="C21" s="1">
        <v>1250</v>
      </c>
      <c r="D21" s="3">
        <f t="shared" si="0"/>
        <v>0.92592592592592582</v>
      </c>
    </row>
    <row r="22" spans="2:4" ht="16.5" customHeight="1">
      <c r="B22" s="1">
        <v>100</v>
      </c>
      <c r="C22" s="1">
        <v>1315</v>
      </c>
      <c r="D22" s="3">
        <f t="shared" si="0"/>
        <v>0.92932862190812726</v>
      </c>
    </row>
    <row r="23" spans="2:4" ht="16.5" customHeight="1">
      <c r="B23" s="1">
        <v>200</v>
      </c>
      <c r="C23" s="1">
        <v>0</v>
      </c>
      <c r="D23" s="3">
        <v>0</v>
      </c>
    </row>
    <row r="24" spans="2:4" ht="16.5" customHeight="1">
      <c r="B24" s="1">
        <v>200</v>
      </c>
      <c r="C24" s="1">
        <v>100</v>
      </c>
      <c r="D24" s="3">
        <f t="shared" ref="D24:D43" si="1">1/(1+(B24/C24))</f>
        <v>0.33333333333333331</v>
      </c>
    </row>
    <row r="25" spans="2:4" ht="16.5" customHeight="1">
      <c r="B25" s="1">
        <v>200</v>
      </c>
      <c r="C25" s="1">
        <v>150</v>
      </c>
      <c r="D25" s="3">
        <f t="shared" si="1"/>
        <v>0.4285714285714286</v>
      </c>
    </row>
    <row r="26" spans="2:4" ht="16.5" customHeight="1">
      <c r="B26" s="1">
        <v>200</v>
      </c>
      <c r="C26" s="1">
        <v>200</v>
      </c>
      <c r="D26" s="3">
        <f t="shared" si="1"/>
        <v>0.5</v>
      </c>
    </row>
    <row r="27" spans="2:4" ht="16.5" customHeight="1">
      <c r="B27" s="1">
        <v>200</v>
      </c>
      <c r="C27" s="1">
        <v>275</v>
      </c>
      <c r="D27" s="3">
        <f t="shared" si="1"/>
        <v>0.57894736842105265</v>
      </c>
    </row>
    <row r="28" spans="2:4" ht="16.5" customHeight="1">
      <c r="B28" s="1">
        <v>200</v>
      </c>
      <c r="C28" s="1">
        <v>340</v>
      </c>
      <c r="D28" s="3">
        <f t="shared" si="1"/>
        <v>0.62962962962962954</v>
      </c>
    </row>
    <row r="29" spans="2:4" ht="16.5" customHeight="1">
      <c r="B29" s="1">
        <v>200</v>
      </c>
      <c r="C29" s="1">
        <v>405</v>
      </c>
      <c r="D29" s="3">
        <f t="shared" si="1"/>
        <v>0.66942148760330578</v>
      </c>
    </row>
    <row r="30" spans="2:4" ht="16.5" customHeight="1">
      <c r="B30" s="1">
        <v>200</v>
      </c>
      <c r="C30" s="1">
        <v>470</v>
      </c>
      <c r="D30" s="3">
        <f t="shared" si="1"/>
        <v>0.70149253731343286</v>
      </c>
    </row>
    <row r="31" spans="2:4" ht="16.5" customHeight="1">
      <c r="B31" s="1">
        <v>200</v>
      </c>
      <c r="C31" s="1">
        <v>535</v>
      </c>
      <c r="D31" s="3">
        <f t="shared" si="1"/>
        <v>0.72789115646258506</v>
      </c>
    </row>
    <row r="32" spans="2:4" ht="16.5" customHeight="1">
      <c r="B32" s="1">
        <v>200</v>
      </c>
      <c r="C32" s="1">
        <v>600</v>
      </c>
      <c r="D32" s="3">
        <f t="shared" si="1"/>
        <v>0.75</v>
      </c>
    </row>
    <row r="33" spans="2:4" ht="16.5" customHeight="1">
      <c r="B33" s="1">
        <v>200</v>
      </c>
      <c r="C33" s="1">
        <v>665</v>
      </c>
      <c r="D33" s="3">
        <f t="shared" si="1"/>
        <v>0.76878612716763006</v>
      </c>
    </row>
    <row r="34" spans="2:4" ht="16.5" customHeight="1">
      <c r="B34" s="1">
        <v>200</v>
      </c>
      <c r="C34" s="1">
        <v>730</v>
      </c>
      <c r="D34" s="3">
        <f t="shared" si="1"/>
        <v>0.78494623655913975</v>
      </c>
    </row>
    <row r="35" spans="2:4" ht="16.5" customHeight="1">
      <c r="B35" s="1">
        <v>200</v>
      </c>
      <c r="C35" s="1">
        <v>795</v>
      </c>
      <c r="D35" s="3">
        <f t="shared" si="1"/>
        <v>0.79899497487437188</v>
      </c>
    </row>
    <row r="36" spans="2:4" ht="16.5" customHeight="1">
      <c r="B36" s="1">
        <v>200</v>
      </c>
      <c r="C36" s="1">
        <v>860</v>
      </c>
      <c r="D36" s="3">
        <f t="shared" si="1"/>
        <v>0.81132075471698117</v>
      </c>
    </row>
    <row r="37" spans="2:4" ht="16.5" customHeight="1">
      <c r="B37" s="1">
        <v>200</v>
      </c>
      <c r="C37" s="1">
        <v>925</v>
      </c>
      <c r="D37" s="3">
        <f t="shared" si="1"/>
        <v>0.82222222222222219</v>
      </c>
    </row>
    <row r="38" spans="2:4" ht="16.5" customHeight="1">
      <c r="B38" s="1">
        <v>200</v>
      </c>
      <c r="C38" s="1">
        <v>990</v>
      </c>
      <c r="D38" s="3">
        <f t="shared" si="1"/>
        <v>0.83193277310924374</v>
      </c>
    </row>
    <row r="39" spans="2:4" ht="16.5" customHeight="1">
      <c r="B39" s="1">
        <v>200</v>
      </c>
      <c r="C39" s="1">
        <v>1055</v>
      </c>
      <c r="D39" s="3">
        <f t="shared" si="1"/>
        <v>0.84063745019920322</v>
      </c>
    </row>
    <row r="40" spans="2:4" ht="16.5" customHeight="1">
      <c r="B40" s="1">
        <v>200</v>
      </c>
      <c r="C40" s="1">
        <v>1120</v>
      </c>
      <c r="D40" s="3">
        <f t="shared" si="1"/>
        <v>0.84848484848484851</v>
      </c>
    </row>
    <row r="41" spans="2:4" ht="16.5" customHeight="1">
      <c r="B41" s="1">
        <v>200</v>
      </c>
      <c r="C41" s="1">
        <v>1185</v>
      </c>
      <c r="D41" s="3">
        <f t="shared" si="1"/>
        <v>0.85559566787003616</v>
      </c>
    </row>
    <row r="42" spans="2:4" ht="16.5" customHeight="1">
      <c r="B42" s="1">
        <v>200</v>
      </c>
      <c r="C42" s="1">
        <v>1250</v>
      </c>
      <c r="D42" s="3">
        <f t="shared" si="1"/>
        <v>0.86206896551724144</v>
      </c>
    </row>
    <row r="43" spans="2:4" ht="16.5" customHeight="1">
      <c r="B43" s="1">
        <v>200</v>
      </c>
      <c r="C43" s="1">
        <v>1315</v>
      </c>
      <c r="D43" s="3">
        <f t="shared" si="1"/>
        <v>0.86798679867986805</v>
      </c>
    </row>
    <row r="44" spans="2:4" ht="16.5" customHeight="1"/>
    <row r="45" spans="2:4" ht="16.5" customHeight="1"/>
    <row r="46" spans="2:4" ht="16.5" customHeight="1"/>
    <row r="47" spans="2:4" ht="16.5" customHeight="1"/>
    <row r="48" spans="2:4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phoneticPr fontId="27" type="noConversion"/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000"/>
  <sheetViews>
    <sheetView workbookViewId="0">
      <selection activeCell="F4" sqref="F4"/>
    </sheetView>
  </sheetViews>
  <sheetFormatPr defaultColWidth="11.21875" defaultRowHeight="15" customHeight="1"/>
  <cols>
    <col min="1" max="1" width="8.88671875" bestFit="1" customWidth="1"/>
    <col min="2" max="2" width="18.33203125" bestFit="1" customWidth="1"/>
    <col min="3" max="3" width="6.88671875" customWidth="1"/>
    <col min="4" max="9" width="6.77734375" customWidth="1"/>
    <col min="10" max="10" width="13" customWidth="1"/>
    <col min="11" max="11" width="12" customWidth="1"/>
    <col min="12" max="12" width="7.5546875" customWidth="1"/>
    <col min="13" max="13" width="14.44140625" customWidth="1"/>
    <col min="14" max="26" width="6.77734375" customWidth="1"/>
  </cols>
  <sheetData>
    <row r="1" spans="1:13" ht="16.5" customHeight="1">
      <c r="A1" s="1" t="s">
        <v>62</v>
      </c>
      <c r="B1" s="5" t="s">
        <v>63</v>
      </c>
      <c r="C1" s="1" t="s">
        <v>64</v>
      </c>
      <c r="J1" s="352" t="s">
        <v>65</v>
      </c>
      <c r="K1" s="337"/>
      <c r="L1" s="338" t="s">
        <v>66</v>
      </c>
      <c r="M1" s="316"/>
    </row>
    <row r="2" spans="1:13" ht="16.5" customHeight="1">
      <c r="A2" s="1">
        <v>440</v>
      </c>
      <c r="B2" s="5">
        <v>0</v>
      </c>
      <c r="C2" s="1">
        <v>0</v>
      </c>
      <c r="J2" s="353" t="s">
        <v>32</v>
      </c>
      <c r="K2" s="331" t="s">
        <v>67</v>
      </c>
      <c r="L2" s="354" t="s">
        <v>68</v>
      </c>
      <c r="M2" s="355"/>
    </row>
    <row r="3" spans="1:13" ht="16.5" customHeight="1">
      <c r="A3" s="1">
        <v>440</v>
      </c>
      <c r="B3" s="5">
        <v>30</v>
      </c>
      <c r="C3" s="3">
        <f t="shared" ref="C3:C90" si="0">1/(1+(A3/B3))</f>
        <v>6.3829787234042562E-2</v>
      </c>
      <c r="J3" s="343"/>
      <c r="K3" s="332"/>
      <c r="L3" s="356"/>
      <c r="M3" s="357"/>
    </row>
    <row r="4" spans="1:13" ht="16.5" customHeight="1">
      <c r="A4" s="1">
        <v>440</v>
      </c>
      <c r="B4" s="5">
        <v>100</v>
      </c>
      <c r="C4" s="3">
        <f t="shared" si="0"/>
        <v>0.18518518518518517</v>
      </c>
      <c r="J4" s="27">
        <v>20</v>
      </c>
      <c r="K4" s="28">
        <v>400</v>
      </c>
      <c r="L4" s="350">
        <f>K4*44.01/22.4*273/(273+J4)</f>
        <v>732.24829351535845</v>
      </c>
      <c r="M4" s="351"/>
    </row>
    <row r="5" spans="1:13" ht="16.5" customHeight="1">
      <c r="A5" s="1">
        <v>440</v>
      </c>
      <c r="B5" s="2">
        <v>200</v>
      </c>
      <c r="C5" s="3">
        <f t="shared" si="0"/>
        <v>0.3125</v>
      </c>
    </row>
    <row r="6" spans="1:13" ht="16.5" customHeight="1">
      <c r="A6" s="1">
        <v>440</v>
      </c>
      <c r="B6" s="2">
        <v>230</v>
      </c>
      <c r="C6" s="3">
        <f t="shared" si="0"/>
        <v>0.34328358208955223</v>
      </c>
    </row>
    <row r="7" spans="1:13" ht="16.5" customHeight="1">
      <c r="A7" s="1">
        <v>440</v>
      </c>
      <c r="B7" s="2">
        <v>260</v>
      </c>
      <c r="C7" s="3">
        <f t="shared" si="0"/>
        <v>0.37142857142857139</v>
      </c>
    </row>
    <row r="8" spans="1:13" ht="16.5" customHeight="1">
      <c r="A8" s="1">
        <v>440</v>
      </c>
      <c r="B8" s="2">
        <v>290</v>
      </c>
      <c r="C8" s="3">
        <f t="shared" si="0"/>
        <v>0.39726027397260277</v>
      </c>
    </row>
    <row r="9" spans="1:13" ht="16.5" customHeight="1">
      <c r="A9" s="1">
        <v>440</v>
      </c>
      <c r="B9" s="2">
        <v>320</v>
      </c>
      <c r="C9" s="3">
        <f t="shared" si="0"/>
        <v>0.42105263157894735</v>
      </c>
    </row>
    <row r="10" spans="1:13" ht="16.5" customHeight="1">
      <c r="A10" s="1">
        <v>440</v>
      </c>
      <c r="B10" s="2">
        <v>350</v>
      </c>
      <c r="C10" s="3">
        <f t="shared" si="0"/>
        <v>0.44303797468354433</v>
      </c>
    </row>
    <row r="11" spans="1:13" ht="16.5" customHeight="1">
      <c r="A11" s="1">
        <v>440</v>
      </c>
      <c r="B11" s="2">
        <v>380</v>
      </c>
      <c r="C11" s="3">
        <f t="shared" si="0"/>
        <v>0.46341463414634143</v>
      </c>
    </row>
    <row r="12" spans="1:13" ht="16.5" customHeight="1">
      <c r="A12" s="1">
        <v>440</v>
      </c>
      <c r="B12" s="2">
        <v>410</v>
      </c>
      <c r="C12" s="3">
        <f t="shared" si="0"/>
        <v>0.4823529411764706</v>
      </c>
    </row>
    <row r="13" spans="1:13" ht="16.5" customHeight="1">
      <c r="A13" s="1">
        <v>440</v>
      </c>
      <c r="B13" s="2">
        <v>440</v>
      </c>
      <c r="C13" s="3">
        <f t="shared" si="0"/>
        <v>0.5</v>
      </c>
    </row>
    <row r="14" spans="1:13" ht="16.5" customHeight="1">
      <c r="A14" s="1">
        <v>440</v>
      </c>
      <c r="B14" s="2">
        <v>470</v>
      </c>
      <c r="C14" s="3">
        <f t="shared" si="0"/>
        <v>0.51648351648351642</v>
      </c>
    </row>
    <row r="15" spans="1:13" ht="16.5" customHeight="1">
      <c r="A15" s="1">
        <v>440</v>
      </c>
      <c r="B15" s="2">
        <v>500</v>
      </c>
      <c r="C15" s="3">
        <f t="shared" si="0"/>
        <v>0.53191489361702127</v>
      </c>
    </row>
    <row r="16" spans="1:13" ht="16.5" customHeight="1">
      <c r="A16" s="1">
        <v>440</v>
      </c>
      <c r="B16" s="2">
        <v>530</v>
      </c>
      <c r="C16" s="3">
        <f t="shared" si="0"/>
        <v>0.54639175257731953</v>
      </c>
    </row>
    <row r="17" spans="1:3" ht="16.5" customHeight="1">
      <c r="A17" s="1">
        <v>440</v>
      </c>
      <c r="B17" s="2">
        <v>560</v>
      </c>
      <c r="C17" s="3">
        <f t="shared" si="0"/>
        <v>0.56000000000000005</v>
      </c>
    </row>
    <row r="18" spans="1:3" ht="16.5" customHeight="1">
      <c r="A18" s="1">
        <v>440</v>
      </c>
      <c r="B18" s="2">
        <v>590</v>
      </c>
      <c r="C18" s="3">
        <f t="shared" si="0"/>
        <v>0.57281553398058249</v>
      </c>
    </row>
    <row r="19" spans="1:3" ht="16.5" customHeight="1">
      <c r="A19" s="1">
        <v>440</v>
      </c>
      <c r="B19" s="2">
        <v>620</v>
      </c>
      <c r="C19" s="3">
        <f t="shared" si="0"/>
        <v>0.58490566037735847</v>
      </c>
    </row>
    <row r="20" spans="1:3" ht="16.5" customHeight="1">
      <c r="A20" s="1">
        <v>440</v>
      </c>
      <c r="B20" s="2">
        <v>650</v>
      </c>
      <c r="C20" s="3">
        <f t="shared" si="0"/>
        <v>0.59633027522935778</v>
      </c>
    </row>
    <row r="21" spans="1:3" ht="16.5" customHeight="1">
      <c r="A21" s="1">
        <v>440</v>
      </c>
      <c r="B21" s="2">
        <v>680</v>
      </c>
      <c r="C21" s="3">
        <f t="shared" si="0"/>
        <v>0.60714285714285721</v>
      </c>
    </row>
    <row r="22" spans="1:3" ht="16.5" customHeight="1">
      <c r="A22" s="1">
        <v>440</v>
      </c>
      <c r="B22" s="2">
        <v>710</v>
      </c>
      <c r="C22" s="3">
        <f t="shared" si="0"/>
        <v>0.61739130434782608</v>
      </c>
    </row>
    <row r="23" spans="1:3" ht="16.5" customHeight="1">
      <c r="A23" s="1">
        <v>440</v>
      </c>
      <c r="B23" s="2">
        <v>740</v>
      </c>
      <c r="C23" s="3">
        <f t="shared" si="0"/>
        <v>0.6271186440677966</v>
      </c>
    </row>
    <row r="24" spans="1:3" ht="16.5" customHeight="1">
      <c r="A24" s="1">
        <v>440</v>
      </c>
      <c r="B24" s="2">
        <v>770</v>
      </c>
      <c r="C24" s="3">
        <f t="shared" si="0"/>
        <v>0.63636363636363635</v>
      </c>
    </row>
    <row r="25" spans="1:3" ht="16.5" customHeight="1">
      <c r="A25" s="1">
        <v>440</v>
      </c>
      <c r="B25" s="2">
        <v>800</v>
      </c>
      <c r="C25" s="3">
        <f t="shared" si="0"/>
        <v>0.64516129032258063</v>
      </c>
    </row>
    <row r="26" spans="1:3" ht="16.5" customHeight="1">
      <c r="A26" s="1">
        <v>440</v>
      </c>
      <c r="B26" s="2">
        <v>830</v>
      </c>
      <c r="C26" s="3">
        <f t="shared" si="0"/>
        <v>0.65354330708661423</v>
      </c>
    </row>
    <row r="27" spans="1:3" ht="16.5" customHeight="1">
      <c r="A27" s="1">
        <v>440</v>
      </c>
      <c r="B27" s="2">
        <v>860</v>
      </c>
      <c r="C27" s="3">
        <f t="shared" si="0"/>
        <v>0.66153846153846152</v>
      </c>
    </row>
    <row r="28" spans="1:3" ht="16.5" customHeight="1">
      <c r="A28" s="1">
        <v>440</v>
      </c>
      <c r="B28" s="2">
        <v>890</v>
      </c>
      <c r="C28" s="3">
        <f t="shared" si="0"/>
        <v>0.66917293233082709</v>
      </c>
    </row>
    <row r="29" spans="1:3" ht="16.5" customHeight="1">
      <c r="A29" s="1">
        <v>440</v>
      </c>
      <c r="B29" s="2">
        <v>920</v>
      </c>
      <c r="C29" s="3">
        <f t="shared" si="0"/>
        <v>0.67647058823529416</v>
      </c>
    </row>
    <row r="30" spans="1:3" ht="16.5" customHeight="1">
      <c r="A30" s="1">
        <v>440</v>
      </c>
      <c r="B30" s="2">
        <v>950</v>
      </c>
      <c r="C30" s="3">
        <f t="shared" si="0"/>
        <v>0.68345323741007191</v>
      </c>
    </row>
    <row r="31" spans="1:3" ht="16.5" customHeight="1">
      <c r="A31" s="1">
        <v>440</v>
      </c>
      <c r="B31" s="2">
        <v>980</v>
      </c>
      <c r="C31" s="3">
        <f t="shared" si="0"/>
        <v>0.6901408450704225</v>
      </c>
    </row>
    <row r="32" spans="1:3" ht="16.5" customHeight="1">
      <c r="A32" s="1">
        <v>440</v>
      </c>
      <c r="B32" s="2">
        <v>1010</v>
      </c>
      <c r="C32" s="3">
        <f t="shared" si="0"/>
        <v>0.69655172413793109</v>
      </c>
    </row>
    <row r="33" spans="1:3" ht="16.5" customHeight="1">
      <c r="A33" s="1">
        <v>440</v>
      </c>
      <c r="B33" s="2">
        <v>1040</v>
      </c>
      <c r="C33" s="3">
        <f t="shared" si="0"/>
        <v>0.70270270270270263</v>
      </c>
    </row>
    <row r="34" spans="1:3" ht="16.5" customHeight="1">
      <c r="A34" s="1">
        <v>440</v>
      </c>
      <c r="B34" s="2">
        <v>1070</v>
      </c>
      <c r="C34" s="3">
        <f t="shared" si="0"/>
        <v>0.70860927152317876</v>
      </c>
    </row>
    <row r="35" spans="1:3" ht="16.5" customHeight="1">
      <c r="A35" s="1">
        <v>440</v>
      </c>
      <c r="B35" s="2">
        <v>1100</v>
      </c>
      <c r="C35" s="3">
        <f t="shared" si="0"/>
        <v>0.7142857142857143</v>
      </c>
    </row>
    <row r="36" spans="1:3" ht="16.5" customHeight="1">
      <c r="A36" s="1">
        <v>440</v>
      </c>
      <c r="B36" s="2">
        <v>1130</v>
      </c>
      <c r="C36" s="3">
        <f t="shared" si="0"/>
        <v>0.71974522292993637</v>
      </c>
    </row>
    <row r="37" spans="1:3" ht="16.5" customHeight="1">
      <c r="A37" s="1">
        <v>440</v>
      </c>
      <c r="B37" s="2">
        <v>1160</v>
      </c>
      <c r="C37" s="3">
        <f t="shared" si="0"/>
        <v>0.72499999999999998</v>
      </c>
    </row>
    <row r="38" spans="1:3" ht="16.5" customHeight="1">
      <c r="A38" s="1">
        <v>440</v>
      </c>
      <c r="B38" s="2">
        <v>1190</v>
      </c>
      <c r="C38" s="3">
        <f t="shared" si="0"/>
        <v>0.73006134969325154</v>
      </c>
    </row>
    <row r="39" spans="1:3" ht="16.5" customHeight="1">
      <c r="A39" s="1">
        <v>440</v>
      </c>
      <c r="B39" s="2">
        <v>1220</v>
      </c>
      <c r="C39" s="3">
        <f t="shared" si="0"/>
        <v>0.73493975903614461</v>
      </c>
    </row>
    <row r="40" spans="1:3" ht="16.5" customHeight="1">
      <c r="A40" s="1">
        <v>440</v>
      </c>
      <c r="B40" s="2">
        <v>1250</v>
      </c>
      <c r="C40" s="3">
        <f t="shared" si="0"/>
        <v>0.7396449704142013</v>
      </c>
    </row>
    <row r="41" spans="1:3" ht="16.5" customHeight="1">
      <c r="A41" s="1">
        <v>440</v>
      </c>
      <c r="B41" s="2">
        <v>1280</v>
      </c>
      <c r="C41" s="3">
        <f t="shared" si="0"/>
        <v>0.7441860465116279</v>
      </c>
    </row>
    <row r="42" spans="1:3" ht="16.5" customHeight="1">
      <c r="A42" s="1">
        <v>440</v>
      </c>
      <c r="B42" s="2">
        <v>1310</v>
      </c>
      <c r="C42" s="3">
        <f t="shared" si="0"/>
        <v>0.74857142857142855</v>
      </c>
    </row>
    <row r="43" spans="1:3" ht="16.5" customHeight="1">
      <c r="A43" s="1">
        <v>440</v>
      </c>
      <c r="B43" s="2">
        <v>1340</v>
      </c>
      <c r="C43" s="3">
        <f t="shared" si="0"/>
        <v>0.7528089887640449</v>
      </c>
    </row>
    <row r="44" spans="1:3" ht="16.5" customHeight="1">
      <c r="A44" s="1">
        <v>440</v>
      </c>
      <c r="B44" s="2">
        <v>1370</v>
      </c>
      <c r="C44" s="3">
        <f t="shared" si="0"/>
        <v>0.75690607734806625</v>
      </c>
    </row>
    <row r="45" spans="1:3" ht="16.5" customHeight="1">
      <c r="A45" s="1">
        <v>440</v>
      </c>
      <c r="B45" s="2">
        <v>1400</v>
      </c>
      <c r="C45" s="3">
        <f t="shared" si="0"/>
        <v>0.76086956521739135</v>
      </c>
    </row>
    <row r="46" spans="1:3" ht="16.5" customHeight="1">
      <c r="A46" s="1">
        <v>440</v>
      </c>
      <c r="B46" s="2">
        <v>1430</v>
      </c>
      <c r="C46" s="3">
        <f t="shared" si="0"/>
        <v>0.76470588235294112</v>
      </c>
    </row>
    <row r="47" spans="1:3" ht="16.5" customHeight="1">
      <c r="A47" s="1">
        <v>440</v>
      </c>
      <c r="B47" s="2">
        <v>1460</v>
      </c>
      <c r="C47" s="3">
        <f t="shared" si="0"/>
        <v>0.768421052631579</v>
      </c>
    </row>
    <row r="48" spans="1:3" ht="16.5" customHeight="1">
      <c r="A48" s="1">
        <v>440</v>
      </c>
      <c r="B48" s="2">
        <v>1490</v>
      </c>
      <c r="C48" s="3">
        <f t="shared" si="0"/>
        <v>0.772020725388601</v>
      </c>
    </row>
    <row r="49" spans="1:3" ht="16.5" customHeight="1">
      <c r="A49" s="1">
        <v>440</v>
      </c>
      <c r="B49" s="2">
        <v>1520</v>
      </c>
      <c r="C49" s="3">
        <f t="shared" si="0"/>
        <v>0.77551020408163263</v>
      </c>
    </row>
    <row r="50" spans="1:3" ht="16.5" customHeight="1">
      <c r="A50" s="1">
        <v>440</v>
      </c>
      <c r="B50" s="2">
        <v>1550</v>
      </c>
      <c r="C50" s="3">
        <f t="shared" si="0"/>
        <v>0.77889447236180898</v>
      </c>
    </row>
    <row r="51" spans="1:3" ht="16.5" customHeight="1">
      <c r="A51" s="1">
        <v>440</v>
      </c>
      <c r="B51" s="2">
        <v>1580</v>
      </c>
      <c r="C51" s="3">
        <f t="shared" si="0"/>
        <v>0.78217821782178221</v>
      </c>
    </row>
    <row r="52" spans="1:3" ht="16.5" customHeight="1">
      <c r="A52" s="1">
        <v>440</v>
      </c>
      <c r="B52" s="2">
        <v>1610</v>
      </c>
      <c r="C52" s="3">
        <f t="shared" si="0"/>
        <v>0.78536585365853651</v>
      </c>
    </row>
    <row r="53" spans="1:3" ht="16.5" customHeight="1">
      <c r="A53" s="1">
        <v>440</v>
      </c>
      <c r="B53" s="2">
        <v>1640</v>
      </c>
      <c r="C53" s="3">
        <f t="shared" si="0"/>
        <v>0.78846153846153844</v>
      </c>
    </row>
    <row r="54" spans="1:3" ht="16.5" customHeight="1">
      <c r="A54" s="1">
        <v>440</v>
      </c>
      <c r="B54" s="2">
        <v>1670</v>
      </c>
      <c r="C54" s="3">
        <f t="shared" si="0"/>
        <v>0.79146919431279616</v>
      </c>
    </row>
    <row r="55" spans="1:3" ht="16.5" customHeight="1">
      <c r="A55" s="1">
        <v>440</v>
      </c>
      <c r="B55" s="2">
        <v>1700</v>
      </c>
      <c r="C55" s="3">
        <f t="shared" si="0"/>
        <v>0.79439252336448596</v>
      </c>
    </row>
    <row r="56" spans="1:3" ht="16.5" customHeight="1">
      <c r="A56" s="1">
        <v>440</v>
      </c>
      <c r="B56" s="2">
        <v>1730</v>
      </c>
      <c r="C56" s="3">
        <f t="shared" si="0"/>
        <v>0.79723502304147464</v>
      </c>
    </row>
    <row r="57" spans="1:3" ht="16.5" customHeight="1">
      <c r="A57" s="1">
        <v>440</v>
      </c>
      <c r="B57" s="2">
        <v>1760</v>
      </c>
      <c r="C57" s="3">
        <f t="shared" si="0"/>
        <v>0.8</v>
      </c>
    </row>
    <row r="58" spans="1:3" ht="16.5" customHeight="1">
      <c r="A58" s="1">
        <v>440</v>
      </c>
      <c r="B58" s="2">
        <v>1790</v>
      </c>
      <c r="C58" s="3">
        <f t="shared" si="0"/>
        <v>0.80269058295964124</v>
      </c>
    </row>
    <row r="59" spans="1:3" ht="16.5" customHeight="1">
      <c r="A59" s="1">
        <v>440</v>
      </c>
      <c r="B59" s="2">
        <v>1820</v>
      </c>
      <c r="C59" s="3">
        <f t="shared" si="0"/>
        <v>0.80530973451327437</v>
      </c>
    </row>
    <row r="60" spans="1:3" ht="16.5" customHeight="1">
      <c r="A60" s="1">
        <v>440</v>
      </c>
      <c r="B60" s="2">
        <v>1850</v>
      </c>
      <c r="C60" s="3">
        <f t="shared" si="0"/>
        <v>0.80786026200873362</v>
      </c>
    </row>
    <row r="61" spans="1:3" ht="16.5" customHeight="1">
      <c r="A61" s="1">
        <v>440</v>
      </c>
      <c r="B61" s="2">
        <v>1880</v>
      </c>
      <c r="C61" s="3">
        <f t="shared" si="0"/>
        <v>0.81034482758620685</v>
      </c>
    </row>
    <row r="62" spans="1:3" ht="16.5" customHeight="1">
      <c r="A62" s="1">
        <v>440</v>
      </c>
      <c r="B62" s="2">
        <v>1910</v>
      </c>
      <c r="C62" s="3">
        <f t="shared" si="0"/>
        <v>0.81276595744680846</v>
      </c>
    </row>
    <row r="63" spans="1:3" ht="16.5" customHeight="1">
      <c r="A63" s="1">
        <v>440</v>
      </c>
      <c r="B63" s="2">
        <v>1940</v>
      </c>
      <c r="C63" s="3">
        <f t="shared" si="0"/>
        <v>0.81512605042016806</v>
      </c>
    </row>
    <row r="64" spans="1:3" ht="16.5" customHeight="1">
      <c r="A64" s="1">
        <v>440</v>
      </c>
      <c r="B64" s="2">
        <v>1970</v>
      </c>
      <c r="C64" s="3">
        <f t="shared" si="0"/>
        <v>0.81742738589211617</v>
      </c>
    </row>
    <row r="65" spans="1:3" ht="16.5" customHeight="1">
      <c r="A65" s="1">
        <v>440</v>
      </c>
      <c r="B65" s="2">
        <v>2000</v>
      </c>
      <c r="C65" s="3">
        <f t="shared" si="0"/>
        <v>0.81967213114754101</v>
      </c>
    </row>
    <row r="66" spans="1:3" ht="16.5" customHeight="1">
      <c r="A66" s="1">
        <v>440</v>
      </c>
      <c r="B66" s="2">
        <v>2030</v>
      </c>
      <c r="C66" s="3">
        <f t="shared" si="0"/>
        <v>0.82186234817813764</v>
      </c>
    </row>
    <row r="67" spans="1:3" ht="16.5" customHeight="1">
      <c r="A67" s="1">
        <v>440</v>
      </c>
      <c r="B67" s="2">
        <v>2060</v>
      </c>
      <c r="C67" s="3">
        <f t="shared" si="0"/>
        <v>0.82400000000000007</v>
      </c>
    </row>
    <row r="68" spans="1:3" ht="16.5" customHeight="1">
      <c r="A68" s="1">
        <v>440</v>
      </c>
      <c r="B68" s="2">
        <v>2090</v>
      </c>
      <c r="C68" s="3">
        <f t="shared" si="0"/>
        <v>0.82608695652173914</v>
      </c>
    </row>
    <row r="69" spans="1:3" ht="16.5" customHeight="1">
      <c r="A69" s="1">
        <v>440</v>
      </c>
      <c r="B69" s="2">
        <v>2120</v>
      </c>
      <c r="C69" s="3">
        <f t="shared" si="0"/>
        <v>0.828125</v>
      </c>
    </row>
    <row r="70" spans="1:3" ht="16.5" customHeight="1">
      <c r="A70" s="1">
        <v>440</v>
      </c>
      <c r="B70" s="2">
        <v>2150</v>
      </c>
      <c r="C70" s="3">
        <f t="shared" si="0"/>
        <v>0.83011583011583012</v>
      </c>
    </row>
    <row r="71" spans="1:3" ht="16.5" customHeight="1">
      <c r="A71" s="1">
        <v>440</v>
      </c>
      <c r="B71" s="2">
        <v>2180</v>
      </c>
      <c r="C71" s="3">
        <f t="shared" si="0"/>
        <v>0.83206106870229002</v>
      </c>
    </row>
    <row r="72" spans="1:3" ht="16.5" customHeight="1">
      <c r="A72" s="1">
        <v>440</v>
      </c>
      <c r="B72" s="2">
        <v>2210</v>
      </c>
      <c r="C72" s="3">
        <f t="shared" si="0"/>
        <v>0.83396226415094343</v>
      </c>
    </row>
    <row r="73" spans="1:3" ht="16.5" customHeight="1">
      <c r="A73" s="1">
        <v>440</v>
      </c>
      <c r="B73" s="2">
        <v>2240</v>
      </c>
      <c r="C73" s="3">
        <f t="shared" si="0"/>
        <v>0.83582089552238803</v>
      </c>
    </row>
    <row r="74" spans="1:3" ht="16.5" customHeight="1">
      <c r="A74" s="1">
        <v>440</v>
      </c>
      <c r="B74" s="2">
        <v>2270</v>
      </c>
      <c r="C74" s="3">
        <f t="shared" si="0"/>
        <v>0.83763837638376382</v>
      </c>
    </row>
    <row r="75" spans="1:3" ht="16.5" customHeight="1">
      <c r="A75" s="1">
        <v>440</v>
      </c>
      <c r="B75" s="2">
        <v>2300</v>
      </c>
      <c r="C75" s="3">
        <f t="shared" si="0"/>
        <v>0.83941605839416056</v>
      </c>
    </row>
    <row r="76" spans="1:3" ht="16.5" customHeight="1">
      <c r="A76" s="1">
        <v>440</v>
      </c>
      <c r="B76" s="2">
        <v>2330</v>
      </c>
      <c r="C76" s="3">
        <f t="shared" si="0"/>
        <v>0.84115523465703967</v>
      </c>
    </row>
    <row r="77" spans="1:3" ht="16.5" customHeight="1">
      <c r="A77" s="1">
        <v>440</v>
      </c>
      <c r="B77" s="2">
        <v>2360</v>
      </c>
      <c r="C77" s="3">
        <f t="shared" si="0"/>
        <v>0.84285714285714286</v>
      </c>
    </row>
    <row r="78" spans="1:3" ht="16.5" customHeight="1">
      <c r="A78" s="1">
        <v>440</v>
      </c>
      <c r="B78" s="2">
        <v>2390</v>
      </c>
      <c r="C78" s="3">
        <f t="shared" si="0"/>
        <v>0.84452296819787986</v>
      </c>
    </row>
    <row r="79" spans="1:3" ht="16.5" customHeight="1">
      <c r="A79" s="1">
        <v>440</v>
      </c>
      <c r="B79" s="2">
        <v>2420</v>
      </c>
      <c r="C79" s="3">
        <f t="shared" si="0"/>
        <v>0.84615384615384615</v>
      </c>
    </row>
    <row r="80" spans="1:3" ht="16.5" customHeight="1">
      <c r="A80" s="1">
        <v>440</v>
      </c>
      <c r="B80" s="2">
        <v>2450</v>
      </c>
      <c r="C80" s="3">
        <f t="shared" si="0"/>
        <v>0.84775086505190311</v>
      </c>
    </row>
    <row r="81" spans="1:3" ht="16.5" customHeight="1">
      <c r="A81" s="1">
        <v>440</v>
      </c>
      <c r="B81" s="2">
        <v>2480</v>
      </c>
      <c r="C81" s="3">
        <f t="shared" si="0"/>
        <v>0.84931506849315064</v>
      </c>
    </row>
    <row r="82" spans="1:3" ht="16.5" customHeight="1">
      <c r="A82" s="1">
        <v>440</v>
      </c>
      <c r="B82" s="2">
        <v>2510</v>
      </c>
      <c r="C82" s="3">
        <f t="shared" si="0"/>
        <v>0.85084745762711855</v>
      </c>
    </row>
    <row r="83" spans="1:3" ht="16.5" customHeight="1">
      <c r="A83" s="1">
        <v>440</v>
      </c>
      <c r="B83" s="2">
        <v>2540</v>
      </c>
      <c r="C83" s="3">
        <f t="shared" si="0"/>
        <v>0.85234899328859071</v>
      </c>
    </row>
    <row r="84" spans="1:3" ht="16.5" customHeight="1">
      <c r="A84" s="1">
        <v>440</v>
      </c>
      <c r="B84" s="2">
        <v>2570</v>
      </c>
      <c r="C84" s="3">
        <f t="shared" si="0"/>
        <v>0.85382059800664445</v>
      </c>
    </row>
    <row r="85" spans="1:3" ht="16.5" customHeight="1">
      <c r="A85" s="1">
        <v>440</v>
      </c>
      <c r="B85" s="2">
        <v>2600</v>
      </c>
      <c r="C85" s="3">
        <f t="shared" si="0"/>
        <v>0.85526315789473684</v>
      </c>
    </row>
    <row r="86" spans="1:3" ht="16.5" customHeight="1">
      <c r="A86" s="1">
        <v>440</v>
      </c>
      <c r="B86" s="2">
        <v>2630</v>
      </c>
      <c r="C86" s="3">
        <f t="shared" si="0"/>
        <v>0.85667752442996736</v>
      </c>
    </row>
    <row r="87" spans="1:3" ht="16.5" customHeight="1">
      <c r="A87" s="1">
        <v>440</v>
      </c>
      <c r="B87" s="2">
        <v>2660</v>
      </c>
      <c r="C87" s="3">
        <f t="shared" si="0"/>
        <v>0.85806451612903234</v>
      </c>
    </row>
    <row r="88" spans="1:3" ht="16.5" customHeight="1">
      <c r="A88" s="1">
        <v>440</v>
      </c>
      <c r="B88" s="2">
        <v>2690</v>
      </c>
      <c r="C88" s="3">
        <f t="shared" si="0"/>
        <v>0.85942492012779548</v>
      </c>
    </row>
    <row r="89" spans="1:3" ht="16.5" customHeight="1">
      <c r="A89" s="1">
        <v>440</v>
      </c>
      <c r="B89" s="2">
        <v>2720</v>
      </c>
      <c r="C89" s="3">
        <f t="shared" si="0"/>
        <v>0.860759493670886</v>
      </c>
    </row>
    <row r="90" spans="1:3" ht="16.5" customHeight="1">
      <c r="A90" s="1">
        <v>440</v>
      </c>
      <c r="B90" s="2">
        <v>2750</v>
      </c>
      <c r="C90" s="3">
        <f t="shared" si="0"/>
        <v>0.86206896551724144</v>
      </c>
    </row>
    <row r="91" spans="1:3" ht="16.5" customHeight="1"/>
    <row r="92" spans="1:3" ht="16.5" customHeight="1"/>
    <row r="93" spans="1:3" ht="16.5" customHeight="1"/>
    <row r="94" spans="1:3" ht="16.5" customHeight="1"/>
    <row r="95" spans="1:3" ht="16.5" customHeight="1"/>
    <row r="96" spans="1:3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6">
    <mergeCell ref="L4:M4"/>
    <mergeCell ref="J1:K1"/>
    <mergeCell ref="L1:M1"/>
    <mergeCell ref="J2:J3"/>
    <mergeCell ref="K2:K3"/>
    <mergeCell ref="L2:M3"/>
  </mergeCells>
  <phoneticPr fontId="27" type="noConversion"/>
  <pageMargins left="0.7" right="0.7" top="0.75" bottom="0.7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G1000"/>
  <sheetViews>
    <sheetView topLeftCell="A10" workbookViewId="0">
      <selection activeCell="A26" sqref="A26"/>
    </sheetView>
  </sheetViews>
  <sheetFormatPr defaultColWidth="11.21875" defaultRowHeight="15" customHeight="1"/>
  <cols>
    <col min="1" max="1" width="6.77734375" customWidth="1"/>
    <col min="2" max="2" width="9.5546875" customWidth="1"/>
    <col min="3" max="3" width="12.88671875" customWidth="1"/>
    <col min="4" max="4" width="13.33203125" customWidth="1"/>
    <col min="5" max="5" width="11.6640625" customWidth="1"/>
    <col min="6" max="6" width="11" customWidth="1"/>
    <col min="7" max="26" width="6.77734375" customWidth="1"/>
  </cols>
  <sheetData>
    <row r="1" spans="2:7" ht="56.1" customHeight="1">
      <c r="B1" s="271" t="s">
        <v>369</v>
      </c>
      <c r="C1" s="271" t="s">
        <v>366</v>
      </c>
      <c r="D1" s="271" t="s">
        <v>367</v>
      </c>
      <c r="E1" s="271" t="s">
        <v>368</v>
      </c>
      <c r="F1" s="271">
        <v>3</v>
      </c>
    </row>
    <row r="2" spans="2:7" ht="16.5" customHeight="1">
      <c r="B2" s="1">
        <v>0</v>
      </c>
      <c r="C2" s="1">
        <f t="shared" ref="C2:C10" si="0">$C$24</f>
        <v>25</v>
      </c>
      <c r="D2" s="1">
        <f t="shared" ref="D2:D10" si="1">$D$24</f>
        <v>5</v>
      </c>
      <c r="E2" s="29">
        <f t="shared" ref="E2:E19" si="2">(2*(B2+D2)^2*(C2+D2)^2-(B2+D2)^4)/(C2+D2)^4</f>
        <v>5.4783950617283951E-2</v>
      </c>
      <c r="F2" s="29">
        <f t="shared" ref="F2:F19" si="3">IF(E2&gt;0,E2,0)</f>
        <v>5.4783950617283951E-2</v>
      </c>
      <c r="G2" s="1" t="s">
        <v>69</v>
      </c>
    </row>
    <row r="3" spans="2:7" ht="16.5" customHeight="1">
      <c r="B3" s="1">
        <v>5</v>
      </c>
      <c r="C3" s="1">
        <f t="shared" si="0"/>
        <v>25</v>
      </c>
      <c r="D3" s="1">
        <f t="shared" si="1"/>
        <v>5</v>
      </c>
      <c r="E3" s="29">
        <f t="shared" si="2"/>
        <v>0.20987654320987653</v>
      </c>
      <c r="F3" s="29">
        <f t="shared" si="3"/>
        <v>0.20987654320987653</v>
      </c>
      <c r="G3" s="1" t="s">
        <v>70</v>
      </c>
    </row>
    <row r="4" spans="2:7" ht="16.5" customHeight="1">
      <c r="B4" s="1">
        <v>10</v>
      </c>
      <c r="C4" s="1">
        <f t="shared" si="0"/>
        <v>25</v>
      </c>
      <c r="D4" s="1">
        <f t="shared" si="1"/>
        <v>5</v>
      </c>
      <c r="E4" s="29">
        <f t="shared" si="2"/>
        <v>0.4375</v>
      </c>
      <c r="F4" s="29">
        <f t="shared" si="3"/>
        <v>0.4375</v>
      </c>
    </row>
    <row r="5" spans="2:7" ht="16.5" customHeight="1">
      <c r="B5" s="1">
        <v>15</v>
      </c>
      <c r="C5" s="1">
        <f t="shared" si="0"/>
        <v>25</v>
      </c>
      <c r="D5" s="1">
        <f t="shared" si="1"/>
        <v>5</v>
      </c>
      <c r="E5" s="29">
        <f t="shared" si="2"/>
        <v>0.69135802469135799</v>
      </c>
      <c r="F5" s="29">
        <f t="shared" si="3"/>
        <v>0.69135802469135799</v>
      </c>
    </row>
    <row r="6" spans="2:7" ht="16.5" customHeight="1">
      <c r="B6" s="1">
        <v>20</v>
      </c>
      <c r="C6" s="1">
        <f t="shared" si="0"/>
        <v>25</v>
      </c>
      <c r="D6" s="1">
        <f t="shared" si="1"/>
        <v>5</v>
      </c>
      <c r="E6" s="29">
        <f t="shared" si="2"/>
        <v>0.90663580246913578</v>
      </c>
      <c r="F6" s="29">
        <f t="shared" si="3"/>
        <v>0.90663580246913578</v>
      </c>
    </row>
    <row r="7" spans="2:7" ht="16.5" customHeight="1">
      <c r="B7" s="1">
        <v>25</v>
      </c>
      <c r="C7" s="1">
        <f t="shared" si="0"/>
        <v>25</v>
      </c>
      <c r="D7" s="1">
        <f t="shared" si="1"/>
        <v>5</v>
      </c>
      <c r="E7" s="29">
        <f t="shared" si="2"/>
        <v>1</v>
      </c>
      <c r="F7" s="29">
        <f t="shared" si="3"/>
        <v>1</v>
      </c>
    </row>
    <row r="8" spans="2:7" ht="16.5" customHeight="1">
      <c r="B8" s="1">
        <v>30</v>
      </c>
      <c r="C8" s="1">
        <f t="shared" si="0"/>
        <v>25</v>
      </c>
      <c r="D8" s="1">
        <f t="shared" si="1"/>
        <v>5</v>
      </c>
      <c r="E8" s="29">
        <f t="shared" si="2"/>
        <v>0.8695987654320988</v>
      </c>
      <c r="F8" s="29">
        <f t="shared" si="3"/>
        <v>0.8695987654320988</v>
      </c>
    </row>
    <row r="9" spans="2:7" ht="16.5" customHeight="1">
      <c r="B9" s="1">
        <v>35</v>
      </c>
      <c r="C9" s="1">
        <f t="shared" si="0"/>
        <v>25</v>
      </c>
      <c r="D9" s="1">
        <f t="shared" si="1"/>
        <v>5</v>
      </c>
      <c r="E9" s="29">
        <f t="shared" si="2"/>
        <v>0.39506172839506171</v>
      </c>
      <c r="F9" s="29">
        <f t="shared" si="3"/>
        <v>0.39506172839506171</v>
      </c>
    </row>
    <row r="10" spans="2:7" ht="16.5" customHeight="1">
      <c r="B10" s="1">
        <v>40</v>
      </c>
      <c r="C10" s="1">
        <f t="shared" si="0"/>
        <v>25</v>
      </c>
      <c r="D10" s="1">
        <f t="shared" si="1"/>
        <v>5</v>
      </c>
      <c r="E10" s="29">
        <f t="shared" si="2"/>
        <v>-0.5625</v>
      </c>
      <c r="F10" s="29">
        <f t="shared" si="3"/>
        <v>0</v>
      </c>
    </row>
    <row r="11" spans="2:7" ht="16.5" customHeight="1">
      <c r="B11" s="1">
        <v>0</v>
      </c>
      <c r="C11" s="1">
        <v>25</v>
      </c>
      <c r="D11" s="1">
        <v>10</v>
      </c>
      <c r="E11" s="29">
        <f t="shared" si="2"/>
        <v>0.15660141607663475</v>
      </c>
      <c r="F11" s="29">
        <f t="shared" si="3"/>
        <v>0.15660141607663475</v>
      </c>
    </row>
    <row r="12" spans="2:7" ht="16.5" customHeight="1">
      <c r="B12" s="1">
        <v>5</v>
      </c>
      <c r="C12" s="1">
        <v>25</v>
      </c>
      <c r="D12" s="1">
        <v>10</v>
      </c>
      <c r="E12" s="29">
        <f t="shared" si="2"/>
        <v>0.33361099541857558</v>
      </c>
      <c r="F12" s="29">
        <f t="shared" si="3"/>
        <v>0.33361099541857558</v>
      </c>
    </row>
    <row r="13" spans="2:7" ht="16.5" customHeight="1">
      <c r="B13" s="1">
        <v>10</v>
      </c>
      <c r="C13" s="1">
        <v>25</v>
      </c>
      <c r="D13" s="1">
        <v>10</v>
      </c>
      <c r="E13" s="29">
        <f t="shared" si="2"/>
        <v>0.54643898375676803</v>
      </c>
      <c r="F13" s="29">
        <f t="shared" si="3"/>
        <v>0.54643898375676803</v>
      </c>
    </row>
    <row r="14" spans="2:7" ht="16.5" customHeight="1">
      <c r="B14" s="1">
        <v>15</v>
      </c>
      <c r="C14" s="1">
        <v>25</v>
      </c>
      <c r="D14" s="1">
        <v>10</v>
      </c>
      <c r="E14" s="29">
        <f t="shared" si="2"/>
        <v>0.76009995835068722</v>
      </c>
      <c r="F14" s="29">
        <f t="shared" si="3"/>
        <v>0.76009995835068722</v>
      </c>
    </row>
    <row r="15" spans="2:7" ht="16.5" customHeight="1">
      <c r="B15" s="1">
        <v>20</v>
      </c>
      <c r="C15" s="1">
        <v>25</v>
      </c>
      <c r="D15" s="1">
        <v>10</v>
      </c>
      <c r="E15" s="29">
        <f t="shared" si="2"/>
        <v>0.929612661391087</v>
      </c>
      <c r="F15" s="29">
        <f t="shared" si="3"/>
        <v>0.929612661391087</v>
      </c>
    </row>
    <row r="16" spans="2:7" ht="16.5" customHeight="1">
      <c r="B16" s="1">
        <v>25</v>
      </c>
      <c r="C16" s="1">
        <v>25</v>
      </c>
      <c r="D16" s="1">
        <v>10</v>
      </c>
      <c r="E16" s="29">
        <f t="shared" si="2"/>
        <v>1</v>
      </c>
      <c r="F16" s="29">
        <f t="shared" si="3"/>
        <v>1</v>
      </c>
    </row>
    <row r="17" spans="2:6" ht="16.5" customHeight="1">
      <c r="B17" s="1">
        <v>30</v>
      </c>
      <c r="C17" s="1">
        <v>25</v>
      </c>
      <c r="D17" s="1">
        <v>10</v>
      </c>
      <c r="E17" s="29">
        <f t="shared" si="2"/>
        <v>0.90628904623073714</v>
      </c>
      <c r="F17" s="29">
        <f t="shared" si="3"/>
        <v>0.90628904623073714</v>
      </c>
    </row>
    <row r="18" spans="2:6" ht="16.5" customHeight="1">
      <c r="B18" s="1">
        <v>35</v>
      </c>
      <c r="C18" s="1">
        <v>25</v>
      </c>
      <c r="D18" s="1">
        <v>10</v>
      </c>
      <c r="E18" s="29">
        <f t="shared" si="2"/>
        <v>0.57351103706788842</v>
      </c>
      <c r="F18" s="29">
        <f t="shared" si="3"/>
        <v>0.57351103706788842</v>
      </c>
    </row>
    <row r="19" spans="2:6" ht="16.5" customHeight="1">
      <c r="B19" s="1">
        <v>40</v>
      </c>
      <c r="C19" s="1">
        <v>25</v>
      </c>
      <c r="D19" s="1">
        <v>10</v>
      </c>
      <c r="E19" s="29">
        <f t="shared" si="2"/>
        <v>-8.3298625572678045E-2</v>
      </c>
      <c r="F19" s="29">
        <f t="shared" si="3"/>
        <v>0</v>
      </c>
    </row>
    <row r="20" spans="2:6" ht="16.5" customHeight="1"/>
    <row r="21" spans="2:6" ht="16.5" customHeight="1"/>
    <row r="22" spans="2:6" ht="16.5" customHeight="1">
      <c r="B22" s="352" t="s">
        <v>65</v>
      </c>
      <c r="C22" s="315"/>
      <c r="D22" s="337"/>
      <c r="E22" s="30" t="s">
        <v>66</v>
      </c>
    </row>
    <row r="23" spans="2:6" ht="49.5" customHeight="1">
      <c r="B23" s="270" t="s">
        <v>71</v>
      </c>
      <c r="C23" s="271" t="s">
        <v>366</v>
      </c>
      <c r="D23" s="271" t="s">
        <v>367</v>
      </c>
      <c r="E23" s="271" t="s">
        <v>368</v>
      </c>
    </row>
    <row r="24" spans="2:6" ht="16.5" customHeight="1">
      <c r="B24" s="6">
        <v>20</v>
      </c>
      <c r="C24" s="7">
        <v>25</v>
      </c>
      <c r="D24" s="7">
        <v>5</v>
      </c>
      <c r="E24" s="31">
        <f>(2*(B24+D24)^2*(C24+D24)^2-(B24+D24)^4)/(C24+D24)^4</f>
        <v>0.90663580246913578</v>
      </c>
    </row>
    <row r="25" spans="2:6" ht="16.5" customHeight="1"/>
    <row r="26" spans="2:6" ht="16.5" customHeight="1"/>
    <row r="27" spans="2:6" ht="16.5" customHeight="1"/>
    <row r="28" spans="2:6" ht="16.5" customHeight="1"/>
    <row r="29" spans="2:6" ht="16.5" customHeight="1"/>
    <row r="30" spans="2:6" ht="16.5" customHeight="1"/>
    <row r="31" spans="2:6" ht="16.5" customHeight="1"/>
    <row r="32" spans="2:6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1">
    <mergeCell ref="B22:D22"/>
  </mergeCells>
  <phoneticPr fontId="27" type="noConversion"/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Chap 1,2 Vps &amp; Vds</vt:lpstr>
      <vt:lpstr>Chap 4 Rlv</vt:lpstr>
      <vt:lpstr>Chap 5 Rav</vt:lpstr>
      <vt:lpstr>Chap 6 Rlv inc.</vt:lpstr>
      <vt:lpstr>Chap 7 Tr</vt:lpstr>
      <vt:lpstr>Chap 8 Pn &amp; Rp</vt:lpstr>
      <vt:lpstr>Chap 9 GI</vt:lpstr>
      <vt:lpstr>Chap 10 Gc</vt:lpstr>
      <vt:lpstr>Chap 11 GTI</vt:lpstr>
      <vt:lpstr>chap12 Pn rate</vt:lpstr>
      <vt:lpstr>Chap 13 Kpr</vt:lpstr>
      <vt:lpstr>Chap14 Rd</vt:lpstr>
      <vt:lpstr>Chap15 sim</vt:lpstr>
      <vt:lpstr>Chap16_24 hr</vt:lpstr>
      <vt:lpstr>Chap17_PFAL</vt:lpstr>
      <vt:lpstr>Chap18 PF Light &amp; Irradiance</vt:lpstr>
      <vt:lpstr>Chap19 PF CO2 Balance</vt:lpstr>
      <vt:lpstr>Chap20 PF water Balance </vt:lpstr>
      <vt:lpstr>Chap21 PF Energy Balance </vt:lpstr>
      <vt:lpstr>Chap22_PF simulation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hsiny</dc:creator>
  <cp:lastModifiedBy>lab306</cp:lastModifiedBy>
  <dcterms:created xsi:type="dcterms:W3CDTF">2020-05-15T06:29:15Z</dcterms:created>
  <dcterms:modified xsi:type="dcterms:W3CDTF">2021-01-21T05:52:16Z</dcterms:modified>
</cp:coreProperties>
</file>