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tml\class-GE&amp;GPE\downloads\"/>
    </mc:Choice>
  </mc:AlternateContent>
  <xr:revisionPtr revIDLastSave="0" documentId="13_ncr:1_{A8870F9B-5C04-4186-9F9C-7319CF3842AC}" xr6:coauthVersionLast="36" xr6:coauthVersionMax="36" xr10:uidLastSave="{00000000-0000-0000-0000-000000000000}"/>
  <bookViews>
    <workbookView xWindow="0" yWindow="0" windowWidth="18730" windowHeight="6720" xr2:uid="{00000000-000D-0000-FFFF-FFFF00000000}"/>
  </bookViews>
  <sheets>
    <sheet name="Calculator" sheetId="1" r:id="rId1"/>
    <sheet name="Batch_Cases" sheetId="2" r:id="rId2"/>
    <sheet name="Notes" sheetId="3" r:id="rId3"/>
  </sheets>
  <definedNames>
    <definedName name="_xlnm._FilterDatabase" localSheetId="1" hidden="1">Batch_Cases!$A$4:$T$22</definedName>
    <definedName name="CdSingle">Calculator!$B$14</definedName>
    <definedName name="CwRoofSide">Calculator!$B$17</definedName>
    <definedName name="CwSingle">Calculator!$B$15</definedName>
    <definedName name="DeltaT">Calculator!$B$8</definedName>
    <definedName name="FloorArea">Calculator!$B$5</definedName>
    <definedName name="Gravity">Calculator!$B$18</definedName>
    <definedName name="HeightDiffHc">Calculator!$B$7</definedName>
    <definedName name="HeightH">Calculator!$B$6</definedName>
    <definedName name="KgRoofSide">Calculator!$B$16</definedName>
    <definedName name="LeftRatio">Calculator!$B$12</definedName>
    <definedName name="RightRatio">Calculator!$B$13</definedName>
    <definedName name="RoofRatio">Calculator!$B$11</definedName>
    <definedName name="ToK">Calculator!$B$9</definedName>
    <definedName name="WindU">Calculator!$B$10</definedName>
  </definedNames>
  <calcPr calcId="191029"/>
</workbook>
</file>

<file path=xl/calcChain.xml><?xml version="1.0" encoding="utf-8"?>
<calcChain xmlns="http://schemas.openxmlformats.org/spreadsheetml/2006/main">
  <c r="O20" i="2" l="1"/>
  <c r="P20" i="2" s="1"/>
  <c r="O18" i="2"/>
  <c r="P18" i="2" s="1"/>
  <c r="O19" i="2"/>
  <c r="Q19" i="2" s="1"/>
  <c r="O15" i="2"/>
  <c r="P15" i="2" s="1"/>
  <c r="O16" i="2"/>
  <c r="P16" i="2" s="1"/>
  <c r="O17" i="2"/>
  <c r="P17" i="2" s="1"/>
  <c r="Q18" i="2" l="1"/>
  <c r="Q20" i="2"/>
  <c r="P19" i="2"/>
  <c r="Q15" i="2"/>
  <c r="Q16" i="2"/>
  <c r="Q17" i="2"/>
  <c r="B16" i="1"/>
  <c r="C10" i="2"/>
  <c r="C15" i="2" s="1"/>
  <c r="C20" i="2" s="1"/>
  <c r="D10" i="2"/>
  <c r="D15" i="2" s="1"/>
  <c r="D20" i="2" s="1"/>
  <c r="F10" i="2"/>
  <c r="F15" i="2" s="1"/>
  <c r="F20" i="2" s="1"/>
  <c r="B10" i="2"/>
  <c r="B15" i="2" s="1"/>
  <c r="B20" i="2" s="1"/>
  <c r="C8" i="2"/>
  <c r="C9" i="2" s="1"/>
  <c r="C14" i="2" s="1"/>
  <c r="C19" i="2" s="1"/>
  <c r="D8" i="2"/>
  <c r="D9" i="2" s="1"/>
  <c r="D14" i="2" s="1"/>
  <c r="D19" i="2" s="1"/>
  <c r="E8" i="2"/>
  <c r="F8" i="2"/>
  <c r="F13" i="2" s="1"/>
  <c r="F18" i="2" s="1"/>
  <c r="G8" i="2"/>
  <c r="B8" i="2"/>
  <c r="B9" i="2" s="1"/>
  <c r="B14" i="2" s="1"/>
  <c r="B19" i="2" s="1"/>
  <c r="L8" i="2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M8" i="2"/>
  <c r="M9" i="2" s="1"/>
  <c r="M10" i="2" s="1"/>
  <c r="M11" i="2" s="1"/>
  <c r="M12" i="2" s="1"/>
  <c r="M13" i="2" s="1"/>
  <c r="M14" i="2" s="1"/>
  <c r="M15" i="2" s="1"/>
  <c r="M16" i="2" s="1"/>
  <c r="M17" i="2" s="1"/>
  <c r="M18" i="2" s="1"/>
  <c r="M19" i="2" s="1"/>
  <c r="M20" i="2" s="1"/>
  <c r="N8" i="2"/>
  <c r="N9" i="2" s="1"/>
  <c r="N10" i="2" s="1"/>
  <c r="N11" i="2" s="1"/>
  <c r="N12" i="2" s="1"/>
  <c r="N13" i="2" s="1"/>
  <c r="N14" i="2" s="1"/>
  <c r="N15" i="2" s="1"/>
  <c r="N16" i="2" s="1"/>
  <c r="N17" i="2" s="1"/>
  <c r="N18" i="2" s="1"/>
  <c r="N19" i="2" s="1"/>
  <c r="N20" i="2" s="1"/>
  <c r="K8" i="2"/>
  <c r="K9" i="2" s="1"/>
  <c r="K10" i="2" s="1"/>
  <c r="K11" i="2" s="1"/>
  <c r="K12" i="2" s="1"/>
  <c r="K13" i="2" s="1"/>
  <c r="K14" i="2" s="1"/>
  <c r="K15" i="2" s="1"/>
  <c r="K16" i="2" s="1"/>
  <c r="K17" i="2" s="1"/>
  <c r="K18" i="2" s="1"/>
  <c r="K19" i="2" s="1"/>
  <c r="K20" i="2" s="1"/>
  <c r="R20" i="2" s="1"/>
  <c r="S20" i="2" s="1"/>
  <c r="C7" i="2"/>
  <c r="C12" i="2" s="1"/>
  <c r="C17" i="2" s="1"/>
  <c r="D7" i="2"/>
  <c r="D12" i="2" s="1"/>
  <c r="D17" i="2" s="1"/>
  <c r="E7" i="2"/>
  <c r="F7" i="2"/>
  <c r="F12" i="2" s="1"/>
  <c r="F17" i="2" s="1"/>
  <c r="G7" i="2"/>
  <c r="B7" i="2"/>
  <c r="B12" i="2" s="1"/>
  <c r="B17" i="2" s="1"/>
  <c r="M6" i="2"/>
  <c r="M7" i="2" s="1"/>
  <c r="N6" i="2"/>
  <c r="N7" i="2" s="1"/>
  <c r="L6" i="2"/>
  <c r="L7" i="2" s="1"/>
  <c r="K6" i="2"/>
  <c r="K7" i="2" s="1"/>
  <c r="C6" i="2"/>
  <c r="C11" i="2" s="1"/>
  <c r="C16" i="2" s="1"/>
  <c r="D6" i="2"/>
  <c r="D11" i="2" s="1"/>
  <c r="D16" i="2" s="1"/>
  <c r="E6" i="2"/>
  <c r="F6" i="2"/>
  <c r="F11" i="2" s="1"/>
  <c r="F16" i="2" s="1"/>
  <c r="G6" i="2"/>
  <c r="B6" i="2"/>
  <c r="B11" i="2" s="1"/>
  <c r="B16" i="2" s="1"/>
  <c r="O14" i="2"/>
  <c r="Q14" i="2" s="1"/>
  <c r="O13" i="2"/>
  <c r="P13" i="2" s="1"/>
  <c r="O12" i="2"/>
  <c r="P12" i="2" s="1"/>
  <c r="O11" i="2"/>
  <c r="Q11" i="2" s="1"/>
  <c r="O10" i="2"/>
  <c r="Q10" i="2" s="1"/>
  <c r="O9" i="2"/>
  <c r="P9" i="2" s="1"/>
  <c r="O8" i="2"/>
  <c r="P8" i="2" s="1"/>
  <c r="O7" i="2"/>
  <c r="Q7" i="2" s="1"/>
  <c r="O6" i="2"/>
  <c r="P6" i="2" s="1"/>
  <c r="R6" i="2" s="1"/>
  <c r="S6" i="2" s="1"/>
  <c r="O5" i="2"/>
  <c r="P5" i="2" s="1"/>
  <c r="G11" i="1"/>
  <c r="G5" i="1"/>
  <c r="G6" i="1" s="1"/>
  <c r="T20" i="2" l="1"/>
  <c r="R17" i="2"/>
  <c r="S17" i="2" s="1"/>
  <c r="R15" i="2"/>
  <c r="R16" i="2"/>
  <c r="S16" i="2" s="1"/>
  <c r="B13" i="2"/>
  <c r="B18" i="2" s="1"/>
  <c r="F9" i="2"/>
  <c r="F14" i="2" s="1"/>
  <c r="F19" i="2" s="1"/>
  <c r="R19" i="2" s="1"/>
  <c r="S19" i="2" s="1"/>
  <c r="Q5" i="2"/>
  <c r="R5" i="2" s="1"/>
  <c r="T5" i="2" s="1"/>
  <c r="D13" i="2"/>
  <c r="D18" i="2" s="1"/>
  <c r="R18" i="2" s="1"/>
  <c r="C13" i="2"/>
  <c r="C18" i="2" s="1"/>
  <c r="Q13" i="2"/>
  <c r="Q9" i="2"/>
  <c r="T6" i="2"/>
  <c r="Q6" i="2"/>
  <c r="G12" i="1"/>
  <c r="G7" i="1"/>
  <c r="G8" i="1" s="1"/>
  <c r="Q8" i="2"/>
  <c r="R8" i="2" s="1"/>
  <c r="T8" i="2" s="1"/>
  <c r="Q12" i="2"/>
  <c r="R12" i="2" s="1"/>
  <c r="P7" i="2"/>
  <c r="R7" i="2" s="1"/>
  <c r="P11" i="2"/>
  <c r="R11" i="2" s="1"/>
  <c r="P10" i="2"/>
  <c r="R10" i="2" s="1"/>
  <c r="P14" i="2"/>
  <c r="R13" i="2" l="1"/>
  <c r="R9" i="2"/>
  <c r="T9" i="2" s="1"/>
  <c r="T18" i="2"/>
  <c r="S18" i="2"/>
  <c r="T19" i="2"/>
  <c r="T17" i="2"/>
  <c r="S15" i="2"/>
  <c r="T15" i="2"/>
  <c r="T16" i="2"/>
  <c r="R14" i="2"/>
  <c r="S14" i="2" s="1"/>
  <c r="T13" i="2"/>
  <c r="S5" i="2"/>
  <c r="S13" i="2"/>
  <c r="T12" i="2"/>
  <c r="S12" i="2"/>
  <c r="T11" i="2"/>
  <c r="S11" i="2"/>
  <c r="T10" i="2"/>
  <c r="S10" i="2"/>
  <c r="S8" i="2"/>
  <c r="T7" i="2"/>
  <c r="S7" i="2"/>
  <c r="G9" i="1"/>
  <c r="G10" i="1"/>
  <c r="S9" i="2" l="1"/>
  <c r="T14" i="2"/>
</calcChain>
</file>

<file path=xl/sharedStrings.xml><?xml version="1.0" encoding="utf-8"?>
<sst xmlns="http://schemas.openxmlformats.org/spreadsheetml/2006/main" count="126" uniqueCount="117">
  <si>
    <t>Boulard 自然通風計算器（天窗＋左右側窗）</t>
  </si>
  <si>
    <t>藍字為可修改輸入；開口比可輸入 0，代表該開口不存在。xlsm 為巨集啟用格式，但本計算器本身以公式計算。</t>
  </si>
  <si>
    <t>輸入參數</t>
  </si>
  <si>
    <t>計算結果</t>
  </si>
  <si>
    <t>Floor area Af</t>
  </si>
  <si>
    <t>m²</t>
  </si>
  <si>
    <t>僅用於換算總風量 Q_total</t>
  </si>
  <si>
    <t>Greenhouse height H</t>
  </si>
  <si>
    <t>m</t>
  </si>
  <si>
    <t>平均高度；ACH = q / H</t>
  </si>
  <si>
    <t>Side-to-roof height diff Hc</t>
  </si>
  <si>
    <t>側窗與天窗幾何中心垂直距離</t>
  </si>
  <si>
    <t>ΔT (indoor - outdoor)</t>
  </si>
  <si>
    <t>°C</t>
  </si>
  <si>
    <t>室內外溫差</t>
  </si>
  <si>
    <t>Outdoor temperature To</t>
  </si>
  <si>
    <t>K</t>
  </si>
  <si>
    <t>絕對溫度，例如 30°C ≈ 303 K</t>
  </si>
  <si>
    <t>Outdoor wind speed uw</t>
  </si>
  <si>
    <t>m/s</t>
  </si>
  <si>
    <t>室外風速</t>
  </si>
  <si>
    <t>Roof vent ratio Ar/Af</t>
  </si>
  <si>
    <t>ratio</t>
  </si>
  <si>
    <t>天窗開口比，可輸入 0</t>
  </si>
  <si>
    <t>Left side vent ratio AL/Af</t>
  </si>
  <si>
    <t>左側側窗開口比，可輸入 0</t>
  </si>
  <si>
    <t>Right side vent ratio AR/Af</t>
  </si>
  <si>
    <t>右側側窗開口比，可輸入 0</t>
  </si>
  <si>
    <t>Cd (single-opening)</t>
  </si>
  <si>
    <t>-</t>
  </si>
  <si>
    <t>Case 1 單一開口係數</t>
  </si>
  <si>
    <t>Cw (single-opening)</t>
  </si>
  <si>
    <t>Case 1 風效應係數</t>
  </si>
  <si>
    <t>Cd*SQRT(Cw) (roof+side)</t>
  </si>
  <si>
    <t>Case 2 全域係數</t>
  </si>
  <si>
    <t>Cw (roof+side)</t>
  </si>
  <si>
    <t>Case 2 風效應係數</t>
  </si>
  <si>
    <t>Gravity g</t>
  </si>
  <si>
    <t>m/s²</t>
  </si>
  <si>
    <t>常數；可保留 9.81</t>
  </si>
  <si>
    <t>Total side ratio As/Af</t>
  </si>
  <si>
    <t>Ventilation mode</t>
  </si>
  <si>
    <t>Epsilon ε</t>
  </si>
  <si>
    <t>Absolute rate q</t>
  </si>
  <si>
    <t>ACH</t>
  </si>
  <si>
    <t>Total flow Q_total</t>
  </si>
  <si>
    <t>Check 1</t>
  </si>
  <si>
    <t>Check 2</t>
  </si>
  <si>
    <t>m³/m²·h</t>
  </si>
  <si>
    <t>h⁻¹</t>
  </si>
  <si>
    <t>m³/h</t>
  </si>
  <si>
    <t>Current formulas used</t>
  </si>
  <si>
    <t>Case 1 (single opening): q = 1800*r*Cd*SQRT(2*g*(ΔT/To)*(H/4)+Cw*u²)</t>
  </si>
  <si>
    <t>Case 2 (roof + side): q = 1800*(Ar/Af+As/Af)*(Cd*SQRT(Cw))*SQRT(u² + (2*g*ε²/Cw)*(ΔT/To)*(Hc/2))</t>
  </si>
  <si>
    <t>ε = SQRT(2)*rr*rs / ((rr+rs)*SQRT(rr²+rs²)); rs = 左右側窗開口比總和</t>
  </si>
  <si>
    <t>When either roof or side total = 0, the sheet automatically switches to single-opening mode.</t>
  </si>
  <si>
    <t>Batch scenario table (copy row 5 downward to compare multiple cases)</t>
  </si>
  <si>
    <t>Editable inputs are blue. You can set any of Roof / Left / Right vent ratios to 0.</t>
  </si>
  <si>
    <t>Case</t>
  </si>
  <si>
    <t>Af</t>
  </si>
  <si>
    <t>H</t>
  </si>
  <si>
    <t>Hc</t>
  </si>
  <si>
    <t>ΔT</t>
  </si>
  <si>
    <t>To(K)</t>
  </si>
  <si>
    <t>u_w</t>
  </si>
  <si>
    <t>Roof</t>
  </si>
  <si>
    <t>Left</t>
  </si>
  <si>
    <t>Right</t>
  </si>
  <si>
    <t>Cd1</t>
  </si>
  <si>
    <t>Cw1</t>
  </si>
  <si>
    <t>Cd√Cw_2</t>
  </si>
  <si>
    <t>Cw2</t>
  </si>
  <si>
    <t>As_total</t>
  </si>
  <si>
    <t>Mode</t>
  </si>
  <si>
    <t>ε</t>
  </si>
  <si>
    <t>q (m³/m²·h)</t>
  </si>
  <si>
    <t>Q_total (m³/h)</t>
  </si>
  <si>
    <t>Default</t>
  </si>
  <si>
    <t>Case 2</t>
  </si>
  <si>
    <t>Case 3</t>
  </si>
  <si>
    <t>Case 4</t>
  </si>
  <si>
    <t>Case 5</t>
  </si>
  <si>
    <t>Case 6</t>
  </si>
  <si>
    <t>Case 7</t>
  </si>
  <si>
    <t>Case 8</t>
  </si>
  <si>
    <t>Case 9</t>
  </si>
  <si>
    <t>Case 10</t>
  </si>
  <si>
    <t>Tip</t>
  </si>
  <si>
    <t>For roof+side cases, set Hc explicitly. For roof-only or side-only cases, Hc is ignored.</t>
  </si>
  <si>
    <t>Notes / References</t>
  </si>
  <si>
    <t>Usage</t>
  </si>
  <si>
    <t>Enter vent ratios as fractions of floor area. Example: 20% = 0.20.</t>
  </si>
  <si>
    <t>Vent handling</t>
  </si>
  <si>
    <t>Roof, left side, and right side ratios all allow 0. The workbook automatically chooses no-opening, single-opening, or roof+side mode.</t>
  </si>
  <si>
    <t>ACH = q / H, where q is in m³/m²·h and H is greenhouse average height in m.</t>
  </si>
  <si>
    <t>Case 1</t>
  </si>
  <si>
    <t>Single-opening formula based on Boulard/Baille style expression with Cd and Cw.</t>
  </si>
  <si>
    <t>Roof+side formula based on Boulard/Kittas style expression with ε geometry factor and Cd*SQRT(Cw).</t>
  </si>
  <si>
    <t>Practical note</t>
  </si>
  <si>
    <t>Case 2 still needs Cw separately because the buoyancy term contains 1/Cw inside the square root.</t>
  </si>
  <si>
    <t>Source URL 1</t>
  </si>
  <si>
    <t>https://efwe.ukzn.ac.za/wp-content/uploads/2021/11/Thipe_EL.pdf</t>
  </si>
  <si>
    <t>Source URL 2</t>
  </si>
  <si>
    <t>https://www.mdpi.com/2073-4395/12/9/1995</t>
  </si>
  <si>
    <t>Source URL 3</t>
  </si>
  <si>
    <t>https://elibrary.asabe.org/abstract.asp?aid=21268</t>
  </si>
  <si>
    <t>Default coefficients</t>
  </si>
  <si>
    <t>Defaults are editable engineering starting values, not site-specific measurements.</t>
  </si>
  <si>
    <t>Macro format</t>
  </si>
  <si>
    <t>This workbook is saved as .xlsm. The calculator itself uses worksheet formulas, so calculations still work even if macros are not enabled in Excel.</t>
  </si>
  <si>
    <t>Case 2 的 Cd = 0.74</t>
    <phoneticPr fontId="8" type="noConversion"/>
  </si>
  <si>
    <t>Case 11</t>
  </si>
  <si>
    <t>Case 12</t>
  </si>
  <si>
    <t>Case 13</t>
  </si>
  <si>
    <t>Case 14</t>
  </si>
  <si>
    <t>Case 15</t>
  </si>
  <si>
    <t>Case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</si>
</sst>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0.0000"/>
    <numFmt numFmtId="178" formatCode="0.0%"/>
    <numFmt numFmtId="179" formatCode="0.000"/>
  </numFmts>
  <fonts count="13" x14ac:knownFonts="1">
    <font>
      <sz val="11"/>
      <color theme="1"/>
      <name val="新細明體"/>
      <family val="2"/>
      <scheme val="minor"/>
    </font>
    <font>
      <b/>
      <sz val="16"/>
      <color rgb="FFFFFFFF"/>
      <name val="新細明體"/>
      <family val="2"/>
      <scheme val="minor"/>
    </font>
    <font>
      <sz val="11"/>
      <color rgb="FF7F6000"/>
      <name val="新細明體"/>
      <family val="2"/>
      <scheme val="minor"/>
    </font>
    <font>
      <b/>
      <sz val="11"/>
      <color rgb="FFFFFFFF"/>
      <name val="新細明體"/>
      <family val="2"/>
      <scheme val="minor"/>
    </font>
    <font>
      <b/>
      <sz val="11"/>
      <color theme="1"/>
      <name val="新細明體"/>
      <family val="2"/>
      <scheme val="minor"/>
    </font>
    <font>
      <sz val="11"/>
      <color rgb="FF0000FF"/>
      <name val="新細明體"/>
      <family val="2"/>
      <scheme val="minor"/>
    </font>
    <font>
      <sz val="9"/>
      <color rgb="FF666666"/>
      <name val="新細明體"/>
      <family val="2"/>
      <scheme val="minor"/>
    </font>
    <font>
      <sz val="11"/>
      <color rgb="FF666666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0"/>
      <color theme="1"/>
      <name val="新細明體"/>
      <family val="2"/>
      <scheme val="minor"/>
    </font>
    <font>
      <b/>
      <sz val="10"/>
      <color theme="1"/>
      <name val="新細明體"/>
      <family val="2"/>
      <scheme val="minor"/>
    </font>
    <font>
      <b/>
      <sz val="9"/>
      <color theme="1"/>
      <name val="新細明體"/>
      <family val="2"/>
      <scheme val="minor"/>
    </font>
    <font>
      <sz val="9"/>
      <color theme="1"/>
      <name val="新細明體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7FBFF"/>
        <bgColor indexed="64"/>
      </patternFill>
    </fill>
    <fill>
      <patternFill patternType="solid">
        <fgColor rgb="FFE6F7F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EAF7"/>
        <bgColor indexed="64"/>
      </patternFill>
    </fill>
  </fills>
  <borders count="17">
    <border>
      <left/>
      <right/>
      <top/>
      <bottom/>
      <diagonal/>
    </border>
    <border>
      <left style="thin">
        <color rgb="FFD9EAF7"/>
      </left>
      <right style="thin">
        <color rgb="FFD9EAF7"/>
      </right>
      <top style="thin">
        <color rgb="FFD9EAF7"/>
      </top>
      <bottom style="thin">
        <color rgb="FFD9EAF7"/>
      </bottom>
      <diagonal/>
    </border>
    <border>
      <left style="thin">
        <color rgb="FFD9EAF7"/>
      </left>
      <right style="thin">
        <color rgb="FFD9EAF7"/>
      </right>
      <top style="thin">
        <color rgb="FFD9EAF7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D9EAF7"/>
      </left>
      <right style="thin">
        <color rgb="FFD9EAF7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D9EAF7"/>
      </left>
      <right style="thin">
        <color rgb="FFD9EAF7"/>
      </right>
      <top style="medium">
        <color indexed="64"/>
      </top>
      <bottom style="thin">
        <color rgb="FFD9EAF7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D9EAF7"/>
      </left>
      <right style="thin">
        <color rgb="FFD9EAF7"/>
      </right>
      <top style="thin">
        <color rgb="FFD9EAF7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D9EAF7"/>
      </left>
      <right style="thin">
        <color rgb="FFD9EAF7"/>
      </right>
      <top style="medium">
        <color indexed="64"/>
      </top>
      <bottom/>
      <diagonal/>
    </border>
    <border>
      <left style="thin">
        <color rgb="FFD9EAF7"/>
      </left>
      <right style="thin">
        <color rgb="FFD9EAF7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3" borderId="0" xfId="0" applyFont="1" applyFill="1" applyAlignment="1">
      <alignment vertical="top" wrapText="1"/>
    </xf>
    <xf numFmtId="0" fontId="3" fillId="4" borderId="0" xfId="0" applyFont="1" applyFill="1"/>
    <xf numFmtId="0" fontId="4" fillId="0" borderId="0" xfId="0" applyFont="1"/>
    <xf numFmtId="2" fontId="5" fillId="5" borderId="1" xfId="0" applyNumberFormat="1" applyFont="1" applyFill="1" applyBorder="1"/>
    <xf numFmtId="0" fontId="6" fillId="0" borderId="0" xfId="0" applyFont="1"/>
    <xf numFmtId="0" fontId="6" fillId="0" borderId="0" xfId="0" applyFont="1" applyAlignment="1">
      <alignment wrapText="1"/>
    </xf>
    <xf numFmtId="176" fontId="0" fillId="0" borderId="0" xfId="0" applyNumberFormat="1"/>
    <xf numFmtId="0" fontId="0" fillId="0" borderId="0" xfId="0"/>
    <xf numFmtId="177" fontId="0" fillId="0" borderId="0" xfId="0" applyNumberFormat="1"/>
    <xf numFmtId="176" fontId="4" fillId="6" borderId="0" xfId="0" applyNumberFormat="1" applyFont="1" applyFill="1"/>
    <xf numFmtId="178" fontId="5" fillId="5" borderId="1" xfId="0" applyNumberFormat="1" applyFont="1" applyFill="1" applyBorder="1"/>
    <xf numFmtId="0" fontId="0" fillId="0" borderId="0" xfId="0" applyAlignment="1">
      <alignment vertical="top" wrapText="1"/>
    </xf>
    <xf numFmtId="0" fontId="4" fillId="8" borderId="0" xfId="0" applyFont="1" applyFill="1"/>
    <xf numFmtId="0" fontId="5" fillId="5" borderId="1" xfId="0" applyFont="1" applyFill="1" applyBorder="1"/>
    <xf numFmtId="0" fontId="0" fillId="0" borderId="5" xfId="0" applyBorder="1"/>
    <xf numFmtId="0" fontId="0" fillId="0" borderId="6" xfId="0" applyBorder="1" applyAlignment="1">
      <alignment vertical="top" wrapText="1"/>
    </xf>
    <xf numFmtId="178" fontId="5" fillId="5" borderId="2" xfId="0" applyNumberFormat="1" applyFont="1" applyFill="1" applyBorder="1"/>
    <xf numFmtId="0" fontId="4" fillId="0" borderId="7" xfId="0" applyFont="1" applyBorder="1"/>
    <xf numFmtId="2" fontId="5" fillId="5" borderId="8" xfId="0" applyNumberFormat="1" applyFont="1" applyFill="1" applyBorder="1"/>
    <xf numFmtId="0" fontId="6" fillId="0" borderId="9" xfId="0" applyFont="1" applyBorder="1"/>
    <xf numFmtId="0" fontId="6" fillId="0" borderId="9" xfId="0" applyFont="1" applyBorder="1" applyAlignment="1">
      <alignment wrapText="1"/>
    </xf>
    <xf numFmtId="0" fontId="0" fillId="0" borderId="9" xfId="0" applyBorder="1"/>
    <xf numFmtId="0" fontId="3" fillId="4" borderId="10" xfId="0" applyFont="1" applyFill="1" applyBorder="1"/>
    <xf numFmtId="176" fontId="5" fillId="5" borderId="1" xfId="0" applyNumberFormat="1" applyFont="1" applyFill="1" applyBorder="1"/>
    <xf numFmtId="1" fontId="5" fillId="5" borderId="1" xfId="0" applyNumberFormat="1" applyFont="1" applyFill="1" applyBorder="1"/>
    <xf numFmtId="0" fontId="0" fillId="0" borderId="10" xfId="0" applyBorder="1" applyAlignment="1">
      <alignment vertical="top" wrapText="1"/>
    </xf>
    <xf numFmtId="0" fontId="4" fillId="0" borderId="3" xfId="0" applyFont="1" applyBorder="1" applyAlignment="1">
      <alignment horizontal="left" vertical="center"/>
    </xf>
    <xf numFmtId="2" fontId="7" fillId="7" borderId="5" xfId="0" applyNumberFormat="1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4" fillId="0" borderId="11" xfId="0" applyFont="1" applyBorder="1" applyAlignment="1">
      <alignment vertical="center"/>
    </xf>
    <xf numFmtId="2" fontId="5" fillId="5" borderId="12" xfId="0" applyNumberFormat="1" applyFont="1" applyFill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179" fontId="5" fillId="5" borderId="4" xfId="0" applyNumberFormat="1" applyFont="1" applyFill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4" fillId="0" borderId="7" xfId="0" applyFont="1" applyBorder="1" applyAlignment="1">
      <alignment vertical="center"/>
    </xf>
    <xf numFmtId="2" fontId="5" fillId="5" borderId="15" xfId="0" applyNumberFormat="1" applyFont="1" applyFill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9" xfId="0" applyFont="1" applyBorder="1" applyAlignment="1">
      <alignment vertical="center" wrapText="1"/>
    </xf>
    <xf numFmtId="0" fontId="0" fillId="0" borderId="0" xfId="0" applyBorder="1"/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 wrapText="1"/>
    </xf>
    <xf numFmtId="0" fontId="0" fillId="0" borderId="0" xfId="0" applyAlignment="1">
      <alignment vertical="center"/>
    </xf>
    <xf numFmtId="0" fontId="10" fillId="8" borderId="0" xfId="0" applyFont="1" applyFill="1"/>
    <xf numFmtId="0" fontId="11" fillId="8" borderId="0" xfId="0" applyFont="1" applyFill="1"/>
    <xf numFmtId="1" fontId="0" fillId="0" borderId="0" xfId="0" applyNumberFormat="1"/>
    <xf numFmtId="0" fontId="9" fillId="0" borderId="0" xfId="0" quotePrefix="1" applyFont="1" applyAlignment="1">
      <alignment wrapText="1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vertical="top" wrapText="1"/>
    </xf>
    <xf numFmtId="1" fontId="5" fillId="5" borderId="0" xfId="0" applyNumberFormat="1" applyFont="1" applyFill="1" applyBorder="1"/>
    <xf numFmtId="176" fontId="5" fillId="5" borderId="0" xfId="0" applyNumberFormat="1" applyFont="1" applyFill="1" applyBorder="1"/>
    <xf numFmtId="178" fontId="5" fillId="5" borderId="0" xfId="0" applyNumberFormat="1" applyFont="1" applyFill="1" applyBorder="1"/>
    <xf numFmtId="2" fontId="5" fillId="5" borderId="0" xfId="0" applyNumberFormat="1" applyFont="1" applyFill="1" applyBorder="1"/>
    <xf numFmtId="178" fontId="5" fillId="5" borderId="16" xfId="0" applyNumberFormat="1" applyFont="1" applyFill="1" applyBorder="1"/>
    <xf numFmtId="0" fontId="12" fillId="0" borderId="0" xfId="0" applyFont="1" applyAlignment="1">
      <alignment horizont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96520</xdr:colOff>
      <xdr:row>15</xdr:row>
      <xdr:rowOff>139696</xdr:rowOff>
    </xdr:from>
    <xdr:to>
      <xdr:col>9</xdr:col>
      <xdr:colOff>152702</xdr:colOff>
      <xdr:row>15</xdr:row>
      <xdr:rowOff>483372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7DC9B273-43BD-4479-848C-A7F6C8CAFF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87160" y="3360416"/>
          <a:ext cx="2352342" cy="343676"/>
        </a:xfrm>
        <a:prstGeom prst="rect">
          <a:avLst/>
        </a:prstGeom>
      </xdr:spPr>
    </xdr:pic>
    <xdr:clientData/>
  </xdr:twoCellAnchor>
  <xdr:twoCellAnchor editAs="oneCell">
    <xdr:from>
      <xdr:col>7</xdr:col>
      <xdr:colOff>213359</xdr:colOff>
      <xdr:row>5</xdr:row>
      <xdr:rowOff>25400</xdr:rowOff>
    </xdr:from>
    <xdr:to>
      <xdr:col>9</xdr:col>
      <xdr:colOff>202836</xdr:colOff>
      <xdr:row>7</xdr:row>
      <xdr:rowOff>40639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4656AB8F-998A-45E7-8260-31CA01B52B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65719" y="1031240"/>
          <a:ext cx="1223917" cy="380999"/>
        </a:xfrm>
        <a:prstGeom prst="rect">
          <a:avLst/>
        </a:prstGeom>
      </xdr:spPr>
    </xdr:pic>
    <xdr:clientData/>
  </xdr:twoCellAnchor>
  <xdr:twoCellAnchor editAs="oneCell">
    <xdr:from>
      <xdr:col>6</xdr:col>
      <xdr:colOff>55880</xdr:colOff>
      <xdr:row>13</xdr:row>
      <xdr:rowOff>136950</xdr:rowOff>
    </xdr:from>
    <xdr:to>
      <xdr:col>8</xdr:col>
      <xdr:colOff>424887</xdr:colOff>
      <xdr:row>14</xdr:row>
      <xdr:rowOff>409394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A170C7FA-68BC-4B42-A537-7B00F4D99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46520" y="2615990"/>
          <a:ext cx="2106367" cy="4553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elibrary.asabe.org/abstract.asp?aid=21268" TargetMode="External"/><Relationship Id="rId2" Type="http://schemas.openxmlformats.org/officeDocument/2006/relationships/hyperlink" Target="https://www.mdpi.com/2073-4395/12/9/1995" TargetMode="External"/><Relationship Id="rId1" Type="http://schemas.openxmlformats.org/officeDocument/2006/relationships/hyperlink" Target="https://efwe.ukzn.ac.za/wp-content/uploads/2021/11/Thipe_E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showGridLines="0" tabSelected="1" zoomScale="125" zoomScaleNormal="125" workbookViewId="0">
      <pane ySplit="3" topLeftCell="A16" activePane="bottomLeft" state="frozen"/>
      <selection pane="bottomLeft" activeCell="G18" sqref="G18"/>
    </sheetView>
  </sheetViews>
  <sheetFormatPr defaultRowHeight="14.5" x14ac:dyDescent="0.3"/>
  <cols>
    <col min="1" max="1" width="27.69921875" customWidth="1"/>
    <col min="2" max="2" width="12.69921875" customWidth="1"/>
    <col min="3" max="3" width="5.296875" customWidth="1"/>
    <col min="4" max="4" width="25.5" customWidth="1"/>
    <col min="5" max="5" width="4.69921875" customWidth="1"/>
    <col min="6" max="6" width="24.69921875" customWidth="1"/>
    <col min="7" max="7" width="16.69921875" customWidth="1"/>
    <col min="8" max="8" width="10.59765625" customWidth="1"/>
  </cols>
  <sheetData>
    <row r="1" spans="1:8" ht="21.5" x14ac:dyDescent="0.3">
      <c r="A1" s="51" t="s">
        <v>0</v>
      </c>
      <c r="B1" s="51"/>
      <c r="C1" s="51"/>
      <c r="D1" s="51"/>
      <c r="E1" s="51"/>
      <c r="F1" s="51"/>
      <c r="G1" s="51"/>
      <c r="H1" s="51"/>
    </row>
    <row r="2" spans="1:8" x14ac:dyDescent="0.3">
      <c r="A2" s="52" t="s">
        <v>1</v>
      </c>
      <c r="B2" s="52"/>
      <c r="C2" s="52"/>
      <c r="D2" s="52"/>
      <c r="E2" s="52"/>
      <c r="F2" s="52"/>
      <c r="G2" s="52"/>
      <c r="H2" s="52"/>
    </row>
    <row r="4" spans="1:8" x14ac:dyDescent="0.3">
      <c r="A4" s="2" t="s">
        <v>2</v>
      </c>
      <c r="F4" s="2" t="s">
        <v>3</v>
      </c>
    </row>
    <row r="5" spans="1:8" x14ac:dyDescent="0.3">
      <c r="A5" s="3" t="s">
        <v>4</v>
      </c>
      <c r="B5" s="4">
        <v>1000</v>
      </c>
      <c r="C5" s="5" t="s">
        <v>5</v>
      </c>
      <c r="D5" s="6" t="s">
        <v>6</v>
      </c>
      <c r="F5" s="3" t="s">
        <v>40</v>
      </c>
      <c r="G5" s="7">
        <f>LeftRatio+RightRatio</f>
        <v>0</v>
      </c>
    </row>
    <row r="6" spans="1:8" x14ac:dyDescent="0.3">
      <c r="A6" s="3" t="s">
        <v>7</v>
      </c>
      <c r="B6" s="4">
        <v>4.5</v>
      </c>
      <c r="C6" s="5" t="s">
        <v>8</v>
      </c>
      <c r="D6" s="6" t="s">
        <v>9</v>
      </c>
      <c r="F6" s="3" t="s">
        <v>41</v>
      </c>
      <c r="G6" s="8" t="str">
        <f>IF(AND(RoofRatio&lt;=0,G5&lt;=0),"No opening",IF(AND(RoofRatio&gt;0,G5&gt;0),"Roof + side","Single opening"))</f>
        <v>Single opening</v>
      </c>
    </row>
    <row r="7" spans="1:8" x14ac:dyDescent="0.3">
      <c r="A7" s="3" t="s">
        <v>10</v>
      </c>
      <c r="B7" s="4">
        <v>3</v>
      </c>
      <c r="C7" s="5" t="s">
        <v>8</v>
      </c>
      <c r="D7" s="6" t="s">
        <v>11</v>
      </c>
      <c r="F7" s="3" t="s">
        <v>42</v>
      </c>
      <c r="G7" s="9" t="str">
        <f>IF(AND(RoofRatio&gt;0,G5&gt;0),(SQRT(2)*RoofRatio*G5)/((RoofRatio+G5)*SQRT(RoofRatio^2+G5^2)),"")</f>
        <v/>
      </c>
    </row>
    <row r="8" spans="1:8" x14ac:dyDescent="0.3">
      <c r="A8" s="3" t="s">
        <v>12</v>
      </c>
      <c r="B8" s="4">
        <v>5</v>
      </c>
      <c r="C8" s="5" t="s">
        <v>13</v>
      </c>
      <c r="D8" s="6" t="s">
        <v>14</v>
      </c>
      <c r="F8" s="3" t="s">
        <v>43</v>
      </c>
      <c r="G8" s="10">
        <f>IF(G6="No opening",0,IF(G6="Single opening",1800*MAX(RoofRatio,G5)*CdSingle*SQRT(2*Gravity*(DeltaT/ToK)*(HeightH/4)+CwSingle*WindU^2),1800*(RoofRatio+G5)*KgRoofSide*SQRT(WindU^2+(2*Gravity*G7^2/CwRoofSide)*(DeltaT/ToK)*(HeightDiffHc/2))))</f>
        <v>259.05738650914878</v>
      </c>
      <c r="H8" s="5" t="s">
        <v>48</v>
      </c>
    </row>
    <row r="9" spans="1:8" x14ac:dyDescent="0.3">
      <c r="A9" s="3" t="s">
        <v>15</v>
      </c>
      <c r="B9" s="4">
        <v>303</v>
      </c>
      <c r="C9" s="5" t="s">
        <v>16</v>
      </c>
      <c r="D9" s="6" t="s">
        <v>17</v>
      </c>
      <c r="F9" s="3" t="s">
        <v>44</v>
      </c>
      <c r="G9" s="10">
        <f>IF(HeightH&gt;0,G8/HeightH,0)</f>
        <v>57.568308113144177</v>
      </c>
      <c r="H9" s="5" t="s">
        <v>49</v>
      </c>
    </row>
    <row r="10" spans="1:8" x14ac:dyDescent="0.3">
      <c r="A10" s="3" t="s">
        <v>18</v>
      </c>
      <c r="B10" s="4">
        <v>3</v>
      </c>
      <c r="C10" s="5" t="s">
        <v>19</v>
      </c>
      <c r="D10" s="6" t="s">
        <v>20</v>
      </c>
      <c r="F10" s="3" t="s">
        <v>45</v>
      </c>
      <c r="G10" s="7">
        <f>FloorArea*G8</f>
        <v>259057.38650914878</v>
      </c>
      <c r="H10" s="5" t="s">
        <v>50</v>
      </c>
    </row>
    <row r="11" spans="1:8" x14ac:dyDescent="0.3">
      <c r="A11" s="3" t="s">
        <v>21</v>
      </c>
      <c r="B11" s="11">
        <v>0.2</v>
      </c>
      <c r="C11" s="5" t="s">
        <v>22</v>
      </c>
      <c r="D11" s="6" t="s">
        <v>23</v>
      </c>
      <c r="F11" s="3" t="s">
        <v>46</v>
      </c>
      <c r="G11" s="1" t="str">
        <f>IF(SUM(RoofRatio,LeftRatio,RightRatio)&gt;1,"Warning: opening ratios sum &gt; 1.0","")</f>
        <v/>
      </c>
    </row>
    <row r="12" spans="1:8" x14ac:dyDescent="0.3">
      <c r="A12" s="3" t="s">
        <v>24</v>
      </c>
      <c r="B12" s="11">
        <v>0</v>
      </c>
      <c r="C12" s="5" t="s">
        <v>22</v>
      </c>
      <c r="D12" s="6" t="s">
        <v>25</v>
      </c>
      <c r="F12" s="3" t="s">
        <v>47</v>
      </c>
      <c r="G12" s="1" t="str">
        <f>IF(AND(G6="Roof + side",HeightDiffHc&gt;HeightH),"Warning: Hc &gt; H","")</f>
        <v/>
      </c>
    </row>
    <row r="13" spans="1:8" ht="15" thickBot="1" x14ac:dyDescent="0.35">
      <c r="A13" s="3" t="s">
        <v>26</v>
      </c>
      <c r="B13" s="17">
        <v>0</v>
      </c>
      <c r="C13" s="5" t="s">
        <v>22</v>
      </c>
      <c r="D13" s="6" t="s">
        <v>27</v>
      </c>
    </row>
    <row r="14" spans="1:8" x14ac:dyDescent="0.3">
      <c r="A14" s="18" t="s">
        <v>28</v>
      </c>
      <c r="B14" s="19">
        <v>0.64</v>
      </c>
      <c r="C14" s="20" t="s">
        <v>29</v>
      </c>
      <c r="D14" s="21" t="s">
        <v>30</v>
      </c>
      <c r="E14" s="22"/>
      <c r="F14" s="23" t="s">
        <v>51</v>
      </c>
    </row>
    <row r="15" spans="1:8" s="46" customFormat="1" ht="44" thickBot="1" x14ac:dyDescent="0.35">
      <c r="A15" s="31" t="s">
        <v>31</v>
      </c>
      <c r="B15" s="32">
        <v>0.1</v>
      </c>
      <c r="C15" s="33" t="s">
        <v>29</v>
      </c>
      <c r="D15" s="34" t="s">
        <v>32</v>
      </c>
      <c r="E15" s="44"/>
      <c r="F15" s="45" t="s">
        <v>52</v>
      </c>
    </row>
    <row r="16" spans="1:8" ht="73" thickBot="1" x14ac:dyDescent="0.35">
      <c r="A16" s="35" t="s">
        <v>33</v>
      </c>
      <c r="B16" s="36">
        <f>0.74*SQRT(CwRoofSide)</f>
        <v>0.19578559701877971</v>
      </c>
      <c r="C16" s="37" t="s">
        <v>29</v>
      </c>
      <c r="D16" s="38" t="s">
        <v>34</v>
      </c>
      <c r="E16" s="15"/>
      <c r="F16" s="16" t="s">
        <v>53</v>
      </c>
      <c r="G16" s="50"/>
    </row>
    <row r="17" spans="1:8" ht="44" thickBot="1" x14ac:dyDescent="0.35">
      <c r="A17" s="39" t="s">
        <v>35</v>
      </c>
      <c r="B17" s="40">
        <v>7.0000000000000007E-2</v>
      </c>
      <c r="C17" s="41" t="s">
        <v>29</v>
      </c>
      <c r="D17" s="42" t="s">
        <v>36</v>
      </c>
      <c r="E17" s="22"/>
      <c r="F17" s="26" t="s">
        <v>54</v>
      </c>
      <c r="G17" s="58" t="s">
        <v>110</v>
      </c>
    </row>
    <row r="18" spans="1:8" ht="58.5" thickBot="1" x14ac:dyDescent="0.35">
      <c r="A18" s="27" t="s">
        <v>37</v>
      </c>
      <c r="B18" s="28">
        <v>9.81</v>
      </c>
      <c r="C18" s="29" t="s">
        <v>38</v>
      </c>
      <c r="D18" s="30" t="s">
        <v>39</v>
      </c>
      <c r="E18" s="15"/>
      <c r="F18" s="16" t="s">
        <v>55</v>
      </c>
      <c r="G18" s="43"/>
      <c r="H18" s="43"/>
    </row>
  </sheetData>
  <mergeCells count="2">
    <mergeCell ref="A1:H1"/>
    <mergeCell ref="A2:H2"/>
  </mergeCells>
  <phoneticPr fontId="8" type="noConversion"/>
  <dataValidations count="2">
    <dataValidation type="decimal" operator="greaterThanOrEqual" allowBlank="1" showInputMessage="1" showErrorMessage="1" error="請輸入大於或等於 0 的數值。" sqref="B5:B10 B14:B18" xr:uid="{00000000-0002-0000-0000-000000000000}">
      <formula1>0</formula1>
    </dataValidation>
    <dataValidation type="decimal" allowBlank="1" showInputMessage="1" showErrorMessage="1" error="開口比請輸入 0 到 1 之間。" sqref="B11:B13" xr:uid="{00000000-0002-0000-0000-000001000000}">
      <formula1>0</formula1>
      <formula2>1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2"/>
  <sheetViews>
    <sheetView showGridLines="0" zoomScale="115" zoomScaleNormal="115" workbookViewId="0">
      <pane ySplit="4" topLeftCell="A11" activePane="bottomLeft" state="frozen"/>
      <selection pane="bottomLeft" activeCell="A24" sqref="A24"/>
    </sheetView>
  </sheetViews>
  <sheetFormatPr defaultRowHeight="14.5" x14ac:dyDescent="0.3"/>
  <cols>
    <col min="1" max="1" width="9.296875" customWidth="1"/>
    <col min="2" max="2" width="6.69921875" customWidth="1"/>
    <col min="3" max="3" width="7.5" customWidth="1"/>
    <col min="4" max="4" width="6.8984375" customWidth="1"/>
    <col min="5" max="5" width="5.59765625" customWidth="1"/>
    <col min="6" max="6" width="8.09765625" customWidth="1"/>
    <col min="7" max="7" width="6.8984375" customWidth="1"/>
    <col min="8" max="8" width="7.69921875" customWidth="1"/>
    <col min="9" max="9" width="7.09765625" customWidth="1"/>
    <col min="10" max="10" width="7.796875" customWidth="1"/>
    <col min="11" max="11" width="7.19921875" customWidth="1"/>
    <col min="12" max="12" width="6.69921875" customWidth="1"/>
    <col min="13" max="13" width="9.59765625" customWidth="1"/>
    <col min="14" max="14" width="7.19921875" customWidth="1"/>
    <col min="15" max="15" width="8.3984375" customWidth="1"/>
    <col min="16" max="16" width="13.796875" customWidth="1"/>
    <col min="17" max="17" width="6.69921875" customWidth="1"/>
    <col min="18" max="18" width="9.19921875" customWidth="1"/>
    <col min="19" max="19" width="8.09765625" customWidth="1"/>
    <col min="20" max="20" width="8.8984375" customWidth="1"/>
  </cols>
  <sheetData>
    <row r="1" spans="1:20" ht="21.5" x14ac:dyDescent="0.3">
      <c r="A1" s="51" t="s">
        <v>56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</row>
    <row r="2" spans="1:20" x14ac:dyDescent="0.3">
      <c r="A2" s="52" t="s">
        <v>57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</row>
    <row r="4" spans="1:20" x14ac:dyDescent="0.3">
      <c r="A4" s="13" t="s">
        <v>58</v>
      </c>
      <c r="B4" s="13" t="s">
        <v>59</v>
      </c>
      <c r="C4" s="13" t="s">
        <v>60</v>
      </c>
      <c r="D4" s="13" t="s">
        <v>61</v>
      </c>
      <c r="E4" s="13" t="s">
        <v>62</v>
      </c>
      <c r="F4" s="13" t="s">
        <v>63</v>
      </c>
      <c r="G4" s="13" t="s">
        <v>64</v>
      </c>
      <c r="H4" s="13" t="s">
        <v>65</v>
      </c>
      <c r="I4" s="13" t="s">
        <v>66</v>
      </c>
      <c r="J4" s="13" t="s">
        <v>67</v>
      </c>
      <c r="K4" s="13" t="s">
        <v>68</v>
      </c>
      <c r="L4" s="13" t="s">
        <v>69</v>
      </c>
      <c r="M4" s="47" t="s">
        <v>70</v>
      </c>
      <c r="N4" s="13" t="s">
        <v>71</v>
      </c>
      <c r="O4" s="13" t="s">
        <v>72</v>
      </c>
      <c r="P4" s="13" t="s">
        <v>73</v>
      </c>
      <c r="Q4" s="13" t="s">
        <v>74</v>
      </c>
      <c r="R4" s="48" t="s">
        <v>75</v>
      </c>
      <c r="S4" s="13" t="s">
        <v>44</v>
      </c>
      <c r="T4" s="13" t="s">
        <v>76</v>
      </c>
    </row>
    <row r="5" spans="1:20" x14ac:dyDescent="0.3">
      <c r="A5" s="14" t="s">
        <v>77</v>
      </c>
      <c r="B5" s="25">
        <v>1000</v>
      </c>
      <c r="C5" s="24">
        <v>4.5</v>
      </c>
      <c r="D5" s="24">
        <v>3</v>
      </c>
      <c r="E5" s="24">
        <v>5</v>
      </c>
      <c r="F5" s="25">
        <v>303</v>
      </c>
      <c r="G5" s="24">
        <v>2</v>
      </c>
      <c r="H5" s="11">
        <v>0.2</v>
      </c>
      <c r="I5" s="11">
        <v>0.2</v>
      </c>
      <c r="J5" s="11">
        <v>0.2</v>
      </c>
      <c r="K5" s="4">
        <v>0.64</v>
      </c>
      <c r="L5" s="4">
        <v>0.1</v>
      </c>
      <c r="M5" s="4">
        <v>0.2</v>
      </c>
      <c r="N5" s="4">
        <v>7.0000000000000007E-2</v>
      </c>
      <c r="O5" s="7">
        <f t="shared" ref="O5:O14" si="0">I5+J5</f>
        <v>0.4</v>
      </c>
      <c r="P5" s="8" t="str">
        <f t="shared" ref="P5:P17" si="1">IF(AND(H5&lt;=0,O5&lt;=0),"No opening",IF(AND(H5&gt;0,O5&gt;0),"Roof + side","Single opening"))</f>
        <v>Roof + side</v>
      </c>
      <c r="Q5" s="9">
        <f t="shared" ref="Q5:Q14" si="2">IF(AND(H5&gt;0,O5&gt;0),(SQRT(2)*H5*O5)/((H5+O5)*SQRT(H5^2+O5^2)),"")</f>
        <v>0.4216370213557839</v>
      </c>
      <c r="R5" s="7">
        <f t="shared" ref="R5:R14" si="3">IF(P5="No opening",0,IF(P5="Single opening",1800*MAX(H5,O5)*K5*SQRT(2*Gravity*(E5/F5)*(C5/4)+L5*G5^2),1800*(H5+O5)*M5*SQRT(G5^2+(2*Gravity*Q5^2/N5)*(E5/F5)*(D5/2))))</f>
        <v>494.13419201378355</v>
      </c>
      <c r="S5" s="7">
        <f t="shared" ref="S5:S14" si="4">IF(C5&gt;0,R5/C5,0)</f>
        <v>109.80759822528523</v>
      </c>
      <c r="T5" s="49">
        <f t="shared" ref="T5:T14" si="5">B5*R5</f>
        <v>494134.19201378356</v>
      </c>
    </row>
    <row r="6" spans="1:20" x14ac:dyDescent="0.3">
      <c r="A6" s="14" t="s">
        <v>78</v>
      </c>
      <c r="B6" s="25">
        <f>B5</f>
        <v>1000</v>
      </c>
      <c r="C6" s="24">
        <f t="shared" ref="C6:G6" si="6">C5</f>
        <v>4.5</v>
      </c>
      <c r="D6" s="24">
        <f t="shared" si="6"/>
        <v>3</v>
      </c>
      <c r="E6" s="24">
        <f t="shared" si="6"/>
        <v>5</v>
      </c>
      <c r="F6" s="25">
        <f t="shared" si="6"/>
        <v>303</v>
      </c>
      <c r="G6" s="24">
        <f t="shared" si="6"/>
        <v>2</v>
      </c>
      <c r="H6" s="11">
        <v>0</v>
      </c>
      <c r="I6" s="11">
        <v>0.2</v>
      </c>
      <c r="J6" s="11">
        <v>0.2</v>
      </c>
      <c r="K6" s="4">
        <f>K5</f>
        <v>0.64</v>
      </c>
      <c r="L6" s="4">
        <f>L5</f>
        <v>0.1</v>
      </c>
      <c r="M6" s="4">
        <f>M5</f>
        <v>0.2</v>
      </c>
      <c r="N6" s="4">
        <f>N5</f>
        <v>7.0000000000000007E-2</v>
      </c>
      <c r="O6" s="7">
        <f t="shared" si="0"/>
        <v>0.4</v>
      </c>
      <c r="P6" s="8" t="str">
        <f t="shared" si="1"/>
        <v>Single opening</v>
      </c>
      <c r="Q6" s="9" t="str">
        <f t="shared" si="2"/>
        <v/>
      </c>
      <c r="R6" s="7">
        <f t="shared" si="3"/>
        <v>402.8332136502674</v>
      </c>
      <c r="S6" s="7">
        <f t="shared" si="4"/>
        <v>89.51849192228164</v>
      </c>
      <c r="T6" s="49">
        <f t="shared" si="5"/>
        <v>402833.2136502674</v>
      </c>
    </row>
    <row r="7" spans="1:20" x14ac:dyDescent="0.3">
      <c r="A7" s="14" t="s">
        <v>79</v>
      </c>
      <c r="B7" s="25">
        <f>B5</f>
        <v>1000</v>
      </c>
      <c r="C7" s="24">
        <f t="shared" ref="C7:G7" si="7">C5</f>
        <v>4.5</v>
      </c>
      <c r="D7" s="24">
        <f t="shared" si="7"/>
        <v>3</v>
      </c>
      <c r="E7" s="24">
        <f t="shared" si="7"/>
        <v>5</v>
      </c>
      <c r="F7" s="25">
        <f t="shared" si="7"/>
        <v>303</v>
      </c>
      <c r="G7" s="24">
        <f t="shared" si="7"/>
        <v>2</v>
      </c>
      <c r="H7" s="11">
        <v>0.2</v>
      </c>
      <c r="I7" s="11">
        <v>0</v>
      </c>
      <c r="J7" s="11">
        <v>0</v>
      </c>
      <c r="K7" s="4">
        <f>K6</f>
        <v>0.64</v>
      </c>
      <c r="L7" s="4">
        <f t="shared" ref="L7:N7" si="8">L6</f>
        <v>0.1</v>
      </c>
      <c r="M7" s="4">
        <f t="shared" si="8"/>
        <v>0.2</v>
      </c>
      <c r="N7" s="4">
        <f t="shared" si="8"/>
        <v>7.0000000000000007E-2</v>
      </c>
      <c r="O7" s="7">
        <f t="shared" si="0"/>
        <v>0</v>
      </c>
      <c r="P7" s="8" t="str">
        <f t="shared" si="1"/>
        <v>Single opening</v>
      </c>
      <c r="Q7" s="9" t="str">
        <f t="shared" si="2"/>
        <v/>
      </c>
      <c r="R7" s="7">
        <f t="shared" si="3"/>
        <v>201.4166068251337</v>
      </c>
      <c r="S7" s="7">
        <f t="shared" si="4"/>
        <v>44.75924596114082</v>
      </c>
      <c r="T7" s="49">
        <f t="shared" si="5"/>
        <v>201416.6068251337</v>
      </c>
    </row>
    <row r="8" spans="1:20" x14ac:dyDescent="0.3">
      <c r="A8" s="14" t="s">
        <v>80</v>
      </c>
      <c r="B8" s="25">
        <f>B5</f>
        <v>1000</v>
      </c>
      <c r="C8" s="24">
        <f t="shared" ref="C8:G8" si="9">C5</f>
        <v>4.5</v>
      </c>
      <c r="D8" s="24">
        <f t="shared" si="9"/>
        <v>3</v>
      </c>
      <c r="E8" s="24">
        <f t="shared" si="9"/>
        <v>5</v>
      </c>
      <c r="F8" s="25">
        <f t="shared" si="9"/>
        <v>303</v>
      </c>
      <c r="G8" s="24">
        <f t="shared" si="9"/>
        <v>2</v>
      </c>
      <c r="H8" s="11">
        <v>0.2</v>
      </c>
      <c r="I8" s="11">
        <v>0.1</v>
      </c>
      <c r="J8" s="11">
        <v>0.1</v>
      </c>
      <c r="K8" s="4">
        <f>K5</f>
        <v>0.64</v>
      </c>
      <c r="L8" s="4">
        <f t="shared" ref="L8:N8" si="10">L5</f>
        <v>0.1</v>
      </c>
      <c r="M8" s="4">
        <f t="shared" si="10"/>
        <v>0.2</v>
      </c>
      <c r="N8" s="4">
        <f t="shared" si="10"/>
        <v>7.0000000000000007E-2</v>
      </c>
      <c r="O8" s="7">
        <f t="shared" si="0"/>
        <v>0.2</v>
      </c>
      <c r="P8" s="8" t="str">
        <f t="shared" si="1"/>
        <v>Roof + side</v>
      </c>
      <c r="Q8" s="9">
        <f t="shared" si="2"/>
        <v>0.5</v>
      </c>
      <c r="R8" s="7">
        <f t="shared" si="3"/>
        <v>344.83238656367035</v>
      </c>
      <c r="S8" s="7">
        <f t="shared" si="4"/>
        <v>76.629419236371191</v>
      </c>
      <c r="T8" s="49">
        <f t="shared" si="5"/>
        <v>344832.38656367036</v>
      </c>
    </row>
    <row r="9" spans="1:20" x14ac:dyDescent="0.3">
      <c r="A9" s="14" t="s">
        <v>81</v>
      </c>
      <c r="B9" s="25">
        <f>B8</f>
        <v>1000</v>
      </c>
      <c r="C9" s="24">
        <f t="shared" ref="C9:F9" si="11">C8</f>
        <v>4.5</v>
      </c>
      <c r="D9" s="24">
        <f t="shared" si="11"/>
        <v>3</v>
      </c>
      <c r="E9" s="24">
        <v>2</v>
      </c>
      <c r="F9" s="25">
        <f t="shared" si="11"/>
        <v>303</v>
      </c>
      <c r="G9" s="24">
        <v>3</v>
      </c>
      <c r="H9" s="11">
        <v>0.2</v>
      </c>
      <c r="I9" s="11">
        <v>0.2</v>
      </c>
      <c r="J9" s="11">
        <v>0.2</v>
      </c>
      <c r="K9" s="4">
        <f>K8</f>
        <v>0.64</v>
      </c>
      <c r="L9" s="4">
        <f t="shared" ref="L9:N11" si="12">L8</f>
        <v>0.1</v>
      </c>
      <c r="M9" s="4">
        <f t="shared" si="12"/>
        <v>0.2</v>
      </c>
      <c r="N9" s="4">
        <f t="shared" si="12"/>
        <v>7.0000000000000007E-2</v>
      </c>
      <c r="O9" s="7">
        <f t="shared" si="0"/>
        <v>0.4</v>
      </c>
      <c r="P9" s="8" t="str">
        <f t="shared" si="1"/>
        <v>Roof + side</v>
      </c>
      <c r="Q9" s="9">
        <f t="shared" si="2"/>
        <v>0.4216370213557839</v>
      </c>
      <c r="R9" s="7">
        <f t="shared" si="3"/>
        <v>665.5237335263455</v>
      </c>
      <c r="S9" s="7">
        <f t="shared" si="4"/>
        <v>147.89416300585455</v>
      </c>
      <c r="T9" s="49">
        <f t="shared" si="5"/>
        <v>665523.73352634546</v>
      </c>
    </row>
    <row r="10" spans="1:20" x14ac:dyDescent="0.3">
      <c r="A10" s="14" t="s">
        <v>82</v>
      </c>
      <c r="B10" s="25">
        <f>B5</f>
        <v>1000</v>
      </c>
      <c r="C10" s="24">
        <f t="shared" ref="C10:F10" si="13">C5</f>
        <v>4.5</v>
      </c>
      <c r="D10" s="24">
        <f t="shared" si="13"/>
        <v>3</v>
      </c>
      <c r="E10" s="24">
        <v>3</v>
      </c>
      <c r="F10" s="25">
        <f t="shared" si="13"/>
        <v>303</v>
      </c>
      <c r="G10" s="24">
        <v>2</v>
      </c>
      <c r="H10" s="11">
        <v>0</v>
      </c>
      <c r="I10" s="11">
        <v>0.2</v>
      </c>
      <c r="J10" s="11">
        <v>0.2</v>
      </c>
      <c r="K10" s="4">
        <f>K9</f>
        <v>0.64</v>
      </c>
      <c r="L10" s="4">
        <f t="shared" si="12"/>
        <v>0.1</v>
      </c>
      <c r="M10" s="4">
        <f t="shared" si="12"/>
        <v>0.2</v>
      </c>
      <c r="N10" s="4">
        <f t="shared" si="12"/>
        <v>7.0000000000000007E-2</v>
      </c>
      <c r="O10" s="7">
        <f t="shared" si="0"/>
        <v>0.4</v>
      </c>
      <c r="P10" s="8" t="str">
        <f t="shared" si="1"/>
        <v>Single opening</v>
      </c>
      <c r="Q10" s="9" t="str">
        <f t="shared" si="2"/>
        <v/>
      </c>
      <c r="R10" s="7">
        <f t="shared" si="3"/>
        <v>362.4067069079727</v>
      </c>
      <c r="S10" s="7">
        <f t="shared" si="4"/>
        <v>80.534823757327274</v>
      </c>
      <c r="T10" s="49">
        <f t="shared" si="5"/>
        <v>362406.70690797269</v>
      </c>
    </row>
    <row r="11" spans="1:20" x14ac:dyDescent="0.3">
      <c r="A11" s="14" t="s">
        <v>83</v>
      </c>
      <c r="B11" s="25">
        <f t="shared" ref="B11:F14" si="14">B6</f>
        <v>1000</v>
      </c>
      <c r="C11" s="24">
        <f t="shared" si="14"/>
        <v>4.5</v>
      </c>
      <c r="D11" s="24">
        <f t="shared" si="14"/>
        <v>3</v>
      </c>
      <c r="E11" s="24">
        <v>3</v>
      </c>
      <c r="F11" s="25">
        <f t="shared" si="14"/>
        <v>303</v>
      </c>
      <c r="G11" s="24">
        <v>2</v>
      </c>
      <c r="H11" s="11">
        <v>0.2</v>
      </c>
      <c r="I11" s="11">
        <v>0</v>
      </c>
      <c r="J11" s="11">
        <v>0</v>
      </c>
      <c r="K11" s="4">
        <f>K10</f>
        <v>0.64</v>
      </c>
      <c r="L11" s="4">
        <f t="shared" si="12"/>
        <v>0.1</v>
      </c>
      <c r="M11" s="4">
        <f t="shared" si="12"/>
        <v>0.2</v>
      </c>
      <c r="N11" s="4">
        <f t="shared" si="12"/>
        <v>7.0000000000000007E-2</v>
      </c>
      <c r="O11" s="7">
        <f t="shared" si="0"/>
        <v>0</v>
      </c>
      <c r="P11" s="8" t="str">
        <f t="shared" si="1"/>
        <v>Single opening</v>
      </c>
      <c r="Q11" s="9" t="str">
        <f t="shared" si="2"/>
        <v/>
      </c>
      <c r="R11" s="7">
        <f t="shared" si="3"/>
        <v>181.20335345398635</v>
      </c>
      <c r="S11" s="7">
        <f t="shared" si="4"/>
        <v>40.267411878663637</v>
      </c>
      <c r="T11" s="49">
        <f t="shared" si="5"/>
        <v>181203.35345398635</v>
      </c>
    </row>
    <row r="12" spans="1:20" x14ac:dyDescent="0.3">
      <c r="A12" s="14" t="s">
        <v>84</v>
      </c>
      <c r="B12" s="25">
        <f t="shared" si="14"/>
        <v>1000</v>
      </c>
      <c r="C12" s="24">
        <f t="shared" si="14"/>
        <v>4.5</v>
      </c>
      <c r="D12" s="24">
        <f t="shared" si="14"/>
        <v>3</v>
      </c>
      <c r="E12" s="24">
        <v>3</v>
      </c>
      <c r="F12" s="25">
        <f t="shared" si="14"/>
        <v>303</v>
      </c>
      <c r="G12" s="24">
        <v>2</v>
      </c>
      <c r="H12" s="11">
        <v>0.2</v>
      </c>
      <c r="I12" s="11">
        <v>0.2</v>
      </c>
      <c r="J12" s="11">
        <v>0.2</v>
      </c>
      <c r="K12" s="4">
        <f t="shared" ref="K12:K20" si="15">K11</f>
        <v>0.64</v>
      </c>
      <c r="L12" s="4">
        <f t="shared" ref="L12:L20" si="16">L11</f>
        <v>0.1</v>
      </c>
      <c r="M12" s="4">
        <f t="shared" ref="M12:M20" si="17">M11</f>
        <v>0.2</v>
      </c>
      <c r="N12" s="4">
        <f t="shared" ref="N12:N20" si="18">N11</f>
        <v>7.0000000000000007E-2</v>
      </c>
      <c r="O12" s="7">
        <f t="shared" si="0"/>
        <v>0.4</v>
      </c>
      <c r="P12" s="8" t="str">
        <f t="shared" si="1"/>
        <v>Roof + side</v>
      </c>
      <c r="Q12" s="9">
        <f t="shared" si="2"/>
        <v>0.4216370213557839</v>
      </c>
      <c r="R12" s="7">
        <f t="shared" si="3"/>
        <v>470.26669011345984</v>
      </c>
      <c r="S12" s="7">
        <f t="shared" si="4"/>
        <v>104.50370891410219</v>
      </c>
      <c r="T12" s="49">
        <f t="shared" si="5"/>
        <v>470266.69011345983</v>
      </c>
    </row>
    <row r="13" spans="1:20" x14ac:dyDescent="0.3">
      <c r="A13" s="14" t="s">
        <v>85</v>
      </c>
      <c r="B13" s="25">
        <f t="shared" si="14"/>
        <v>1000</v>
      </c>
      <c r="C13" s="24">
        <f t="shared" si="14"/>
        <v>4.5</v>
      </c>
      <c r="D13" s="24">
        <f t="shared" si="14"/>
        <v>3</v>
      </c>
      <c r="E13" s="24">
        <v>3</v>
      </c>
      <c r="F13" s="25">
        <f t="shared" si="14"/>
        <v>303</v>
      </c>
      <c r="G13" s="24">
        <v>1</v>
      </c>
      <c r="H13" s="11">
        <v>0.2</v>
      </c>
      <c r="I13" s="11">
        <v>0.2</v>
      </c>
      <c r="J13" s="11">
        <v>0.2</v>
      </c>
      <c r="K13" s="4">
        <f t="shared" si="15"/>
        <v>0.64</v>
      </c>
      <c r="L13" s="4">
        <f t="shared" si="16"/>
        <v>0.1</v>
      </c>
      <c r="M13" s="4">
        <f t="shared" si="17"/>
        <v>0.2</v>
      </c>
      <c r="N13" s="4">
        <f t="shared" si="18"/>
        <v>7.0000000000000007E-2</v>
      </c>
      <c r="O13" s="7">
        <f t="shared" si="0"/>
        <v>0.4</v>
      </c>
      <c r="P13" s="8" t="str">
        <f t="shared" si="1"/>
        <v>Roof + side</v>
      </c>
      <c r="Q13" s="9">
        <f t="shared" si="2"/>
        <v>0.4216370213557839</v>
      </c>
      <c r="R13" s="7">
        <f t="shared" si="3"/>
        <v>284.92588480211617</v>
      </c>
      <c r="S13" s="7">
        <f t="shared" si="4"/>
        <v>63.316863289359148</v>
      </c>
      <c r="T13" s="49">
        <f t="shared" si="5"/>
        <v>284925.8848021162</v>
      </c>
    </row>
    <row r="14" spans="1:20" x14ac:dyDescent="0.3">
      <c r="A14" s="14" t="s">
        <v>86</v>
      </c>
      <c r="B14" s="25">
        <f t="shared" si="14"/>
        <v>1000</v>
      </c>
      <c r="C14" s="24">
        <f t="shared" si="14"/>
        <v>4.5</v>
      </c>
      <c r="D14" s="24">
        <f t="shared" si="14"/>
        <v>3</v>
      </c>
      <c r="E14" s="24">
        <v>5</v>
      </c>
      <c r="F14" s="25">
        <f t="shared" si="14"/>
        <v>303</v>
      </c>
      <c r="G14" s="24">
        <v>1</v>
      </c>
      <c r="H14" s="11">
        <v>0.2</v>
      </c>
      <c r="I14" s="11">
        <v>0.2</v>
      </c>
      <c r="J14" s="11">
        <v>0.2</v>
      </c>
      <c r="K14" s="4">
        <f t="shared" si="15"/>
        <v>0.64</v>
      </c>
      <c r="L14" s="4">
        <f t="shared" si="16"/>
        <v>0.1</v>
      </c>
      <c r="M14" s="4">
        <f t="shared" si="17"/>
        <v>0.2</v>
      </c>
      <c r="N14" s="4">
        <f t="shared" si="18"/>
        <v>7.0000000000000007E-2</v>
      </c>
      <c r="O14" s="7">
        <f t="shared" si="0"/>
        <v>0.4</v>
      </c>
      <c r="P14" s="8" t="str">
        <f t="shared" si="1"/>
        <v>Roof + side</v>
      </c>
      <c r="Q14" s="9">
        <f t="shared" si="2"/>
        <v>0.4216370213557839</v>
      </c>
      <c r="R14" s="7">
        <f t="shared" si="3"/>
        <v>322.80117675918501</v>
      </c>
      <c r="S14" s="7">
        <f t="shared" si="4"/>
        <v>71.733594835374447</v>
      </c>
      <c r="T14" s="49">
        <f t="shared" si="5"/>
        <v>322801.17675918504</v>
      </c>
    </row>
    <row r="15" spans="1:20" s="8" customFormat="1" x14ac:dyDescent="0.3">
      <c r="A15" s="14" t="s">
        <v>111</v>
      </c>
      <c r="B15" s="25">
        <f t="shared" ref="B15:F15" si="19">B10</f>
        <v>1000</v>
      </c>
      <c r="C15" s="24">
        <f t="shared" si="19"/>
        <v>4.5</v>
      </c>
      <c r="D15" s="24">
        <f t="shared" si="19"/>
        <v>3</v>
      </c>
      <c r="E15" s="24">
        <v>5</v>
      </c>
      <c r="F15" s="25">
        <f t="shared" ref="F15:J15" si="20">F10</f>
        <v>303</v>
      </c>
      <c r="G15" s="24">
        <v>1</v>
      </c>
      <c r="H15" s="11">
        <v>0</v>
      </c>
      <c r="I15" s="11">
        <v>0.2</v>
      </c>
      <c r="J15" s="11">
        <v>0.2</v>
      </c>
      <c r="K15" s="4">
        <f t="shared" si="15"/>
        <v>0.64</v>
      </c>
      <c r="L15" s="4">
        <f t="shared" si="16"/>
        <v>0.1</v>
      </c>
      <c r="M15" s="4">
        <f t="shared" si="17"/>
        <v>0.2</v>
      </c>
      <c r="N15" s="4">
        <f t="shared" si="18"/>
        <v>7.0000000000000007E-2</v>
      </c>
      <c r="O15" s="7">
        <f t="shared" ref="O15:O17" si="21">I15+J15</f>
        <v>0.4</v>
      </c>
      <c r="P15" s="8" t="str">
        <f t="shared" si="1"/>
        <v>Single opening</v>
      </c>
      <c r="Q15" s="9" t="str">
        <f t="shared" ref="Q15:Q17" si="22">IF(AND(H15&gt;0,O15&gt;0),(SQRT(2)*H15*O15)/((H15+O15)*SQRT(H15^2+O15^2)),"")</f>
        <v/>
      </c>
      <c r="R15" s="7">
        <f t="shared" ref="R15:R17" si="23">IF(P15="No opening",0,IF(P15="Single opening",1800*MAX(H15,O15)*K15*SQRT(2*Gravity*(E15/F15)*(C15/4)+L15*G15^2),1800*(H15+O15)*M15*SQRT(G15^2+(2*Gravity*Q15^2/N15)*(E15/F15)*(D15/2))))</f>
        <v>313.96433877082598</v>
      </c>
      <c r="S15" s="7">
        <f t="shared" ref="S15:S17" si="24">IF(C15&gt;0,R15/C15,0)</f>
        <v>69.76985306018355</v>
      </c>
      <c r="T15" s="49">
        <f t="shared" ref="T15:T17" si="25">B15*R15</f>
        <v>313964.338770826</v>
      </c>
    </row>
    <row r="16" spans="1:20" s="8" customFormat="1" x14ac:dyDescent="0.3">
      <c r="A16" s="14" t="s">
        <v>112</v>
      </c>
      <c r="B16" s="25">
        <f t="shared" ref="B16:F16" si="26">B11</f>
        <v>1000</v>
      </c>
      <c r="C16" s="24">
        <f t="shared" si="26"/>
        <v>4.5</v>
      </c>
      <c r="D16" s="24">
        <f t="shared" si="26"/>
        <v>3</v>
      </c>
      <c r="E16" s="24">
        <v>5</v>
      </c>
      <c r="F16" s="25">
        <f t="shared" ref="F16:J16" si="27">F11</f>
        <v>303</v>
      </c>
      <c r="G16" s="24">
        <v>1</v>
      </c>
      <c r="H16" s="11">
        <v>0.2</v>
      </c>
      <c r="I16" s="11">
        <v>0</v>
      </c>
      <c r="J16" s="11">
        <v>0</v>
      </c>
      <c r="K16" s="4">
        <f t="shared" si="15"/>
        <v>0.64</v>
      </c>
      <c r="L16" s="4">
        <f t="shared" si="16"/>
        <v>0.1</v>
      </c>
      <c r="M16" s="4">
        <f t="shared" si="17"/>
        <v>0.2</v>
      </c>
      <c r="N16" s="4">
        <f t="shared" si="18"/>
        <v>7.0000000000000007E-2</v>
      </c>
      <c r="O16" s="7">
        <f t="shared" si="21"/>
        <v>0</v>
      </c>
      <c r="P16" s="8" t="str">
        <f t="shared" si="1"/>
        <v>Single opening</v>
      </c>
      <c r="Q16" s="9" t="str">
        <f t="shared" si="22"/>
        <v/>
      </c>
      <c r="R16" s="7">
        <f t="shared" si="23"/>
        <v>156.98216938541299</v>
      </c>
      <c r="S16" s="7">
        <f t="shared" si="24"/>
        <v>34.884926530091775</v>
      </c>
      <c r="T16" s="49">
        <f t="shared" si="25"/>
        <v>156982.169385413</v>
      </c>
    </row>
    <row r="17" spans="1:20" s="8" customFormat="1" x14ac:dyDescent="0.3">
      <c r="A17" s="14" t="s">
        <v>113</v>
      </c>
      <c r="B17" s="25">
        <f t="shared" ref="B17:F17" si="28">B12</f>
        <v>1000</v>
      </c>
      <c r="C17" s="24">
        <f t="shared" si="28"/>
        <v>4.5</v>
      </c>
      <c r="D17" s="24">
        <f t="shared" si="28"/>
        <v>3</v>
      </c>
      <c r="E17" s="24">
        <v>5</v>
      </c>
      <c r="F17" s="25">
        <f t="shared" ref="F17:J17" si="29">F12</f>
        <v>303</v>
      </c>
      <c r="G17" s="24">
        <v>1</v>
      </c>
      <c r="H17" s="11">
        <v>0.3</v>
      </c>
      <c r="I17" s="11">
        <v>0</v>
      </c>
      <c r="J17" s="11">
        <v>0</v>
      </c>
      <c r="K17" s="4">
        <f t="shared" si="15"/>
        <v>0.64</v>
      </c>
      <c r="L17" s="4">
        <f t="shared" si="16"/>
        <v>0.1</v>
      </c>
      <c r="M17" s="4">
        <f t="shared" si="17"/>
        <v>0.2</v>
      </c>
      <c r="N17" s="4">
        <f t="shared" si="18"/>
        <v>7.0000000000000007E-2</v>
      </c>
      <c r="O17" s="7">
        <f t="shared" si="21"/>
        <v>0</v>
      </c>
      <c r="P17" s="8" t="str">
        <f t="shared" si="1"/>
        <v>Single opening</v>
      </c>
      <c r="Q17" s="9" t="str">
        <f t="shared" si="22"/>
        <v/>
      </c>
      <c r="R17" s="7">
        <f t="shared" si="23"/>
        <v>235.47325407811951</v>
      </c>
      <c r="S17" s="7">
        <f t="shared" si="24"/>
        <v>52.32738979513767</v>
      </c>
      <c r="T17" s="49">
        <f t="shared" si="25"/>
        <v>235473.2540781195</v>
      </c>
    </row>
    <row r="18" spans="1:20" s="8" customFormat="1" x14ac:dyDescent="0.3">
      <c r="A18" s="14" t="s">
        <v>114</v>
      </c>
      <c r="B18" s="25">
        <f t="shared" ref="B18:F20" si="30">B13</f>
        <v>1000</v>
      </c>
      <c r="C18" s="24">
        <f t="shared" si="30"/>
        <v>4.5</v>
      </c>
      <c r="D18" s="24">
        <f t="shared" si="30"/>
        <v>3</v>
      </c>
      <c r="E18" s="24">
        <v>5</v>
      </c>
      <c r="F18" s="25">
        <f t="shared" ref="F18:J20" si="31">F13</f>
        <v>303</v>
      </c>
      <c r="G18" s="24">
        <v>0</v>
      </c>
      <c r="H18" s="11">
        <v>0.2</v>
      </c>
      <c r="I18" s="11">
        <v>0.2</v>
      </c>
      <c r="J18" s="11">
        <v>0.2</v>
      </c>
      <c r="K18" s="4">
        <f t="shared" si="15"/>
        <v>0.64</v>
      </c>
      <c r="L18" s="4">
        <f t="shared" si="16"/>
        <v>0.1</v>
      </c>
      <c r="M18" s="4">
        <f t="shared" si="17"/>
        <v>0.2</v>
      </c>
      <c r="N18" s="4">
        <f t="shared" si="18"/>
        <v>7.0000000000000007E-2</v>
      </c>
      <c r="O18" s="7">
        <f t="shared" ref="O18:O20" si="32">I18+J18</f>
        <v>0.4</v>
      </c>
      <c r="P18" s="8" t="str">
        <f t="shared" ref="P18:P20" si="33">IF(AND(H18&lt;=0,O18&lt;=0),"No opening",IF(AND(H18&gt;0,O18&gt;0),"Roof + side","Single opening"))</f>
        <v>Roof + side</v>
      </c>
      <c r="Q18" s="9">
        <f t="shared" ref="Q18:Q19" si="34">IF(AND(H18&gt;0,O18&gt;0),(SQRT(2)*H18*O18)/((H18+O18)*SQRT(H18^2+O18^2)),"")</f>
        <v>0.4216370213557839</v>
      </c>
      <c r="R18" s="7">
        <f t="shared" ref="R18:R19" si="35">IF(P18="No opening",0,IF(P18="Single opening",1800*MAX(H18,O18)*K18*SQRT(2*Gravity*(E18/F18)*(C18/4)+L18*G18^2),1800*(H18+O18)*M18*SQRT(G18^2+(2*Gravity*Q18^2/N18)*(E18/F18)*(D18/2))))</f>
        <v>239.88455497825325</v>
      </c>
      <c r="S18" s="7">
        <f t="shared" ref="S18:S19" si="36">IF(C18&gt;0,R18/C18,0)</f>
        <v>53.30767888405628</v>
      </c>
      <c r="T18" s="49">
        <f t="shared" ref="T18:T19" si="37">B18*R18</f>
        <v>239884.55497825326</v>
      </c>
    </row>
    <row r="19" spans="1:20" x14ac:dyDescent="0.3">
      <c r="A19" s="14" t="s">
        <v>115</v>
      </c>
      <c r="B19" s="25">
        <f t="shared" ref="B19:D19" si="38">B14</f>
        <v>1000</v>
      </c>
      <c r="C19" s="24">
        <f t="shared" si="38"/>
        <v>4.5</v>
      </c>
      <c r="D19" s="24">
        <f t="shared" si="38"/>
        <v>3</v>
      </c>
      <c r="E19" s="24">
        <v>5</v>
      </c>
      <c r="F19" s="25">
        <f t="shared" ref="F19" si="39">F14</f>
        <v>303</v>
      </c>
      <c r="G19" s="24">
        <v>0</v>
      </c>
      <c r="H19" s="11">
        <v>0</v>
      </c>
      <c r="I19" s="11">
        <v>0.2</v>
      </c>
      <c r="J19" s="11">
        <v>0.2</v>
      </c>
      <c r="K19" s="4">
        <f t="shared" si="15"/>
        <v>0.64</v>
      </c>
      <c r="L19" s="4">
        <f t="shared" si="16"/>
        <v>0.1</v>
      </c>
      <c r="M19" s="4">
        <f t="shared" si="17"/>
        <v>0.2</v>
      </c>
      <c r="N19" s="4">
        <f t="shared" si="18"/>
        <v>7.0000000000000007E-2</v>
      </c>
      <c r="O19" s="7">
        <f t="shared" si="32"/>
        <v>0.4</v>
      </c>
      <c r="P19" s="8" t="str">
        <f t="shared" si="33"/>
        <v>Single opening</v>
      </c>
      <c r="Q19" s="9" t="str">
        <f t="shared" si="34"/>
        <v/>
      </c>
      <c r="R19" s="7">
        <f t="shared" si="35"/>
        <v>278.1005969425488</v>
      </c>
      <c r="S19" s="7">
        <f t="shared" si="36"/>
        <v>61.800132653899738</v>
      </c>
      <c r="T19" s="49">
        <f t="shared" si="37"/>
        <v>278100.59694254881</v>
      </c>
    </row>
    <row r="20" spans="1:20" x14ac:dyDescent="0.3">
      <c r="A20" s="14" t="s">
        <v>116</v>
      </c>
      <c r="B20" s="25">
        <f t="shared" si="30"/>
        <v>1000</v>
      </c>
      <c r="C20" s="24">
        <f t="shared" si="30"/>
        <v>4.5</v>
      </c>
      <c r="D20" s="24">
        <f t="shared" si="30"/>
        <v>3</v>
      </c>
      <c r="E20" s="24">
        <v>5</v>
      </c>
      <c r="F20" s="25">
        <f t="shared" si="31"/>
        <v>303</v>
      </c>
      <c r="G20" s="24">
        <v>0</v>
      </c>
      <c r="H20" s="57">
        <v>0.2</v>
      </c>
      <c r="I20" s="57">
        <v>0</v>
      </c>
      <c r="J20" s="57">
        <v>0</v>
      </c>
      <c r="K20" s="4">
        <f t="shared" si="15"/>
        <v>0.64</v>
      </c>
      <c r="L20" s="4">
        <f t="shared" si="16"/>
        <v>0.1</v>
      </c>
      <c r="M20" s="4">
        <f t="shared" si="17"/>
        <v>0.2</v>
      </c>
      <c r="N20" s="4">
        <f t="shared" si="18"/>
        <v>7.0000000000000007E-2</v>
      </c>
      <c r="O20" s="7">
        <f t="shared" si="32"/>
        <v>0</v>
      </c>
      <c r="P20" t="str">
        <f t="shared" si="33"/>
        <v>Single opening</v>
      </c>
      <c r="Q20" s="9" t="str">
        <f t="shared" ref="Q20" si="40">IF(AND(H20&gt;0,O20&gt;0),(SQRT(2)*H20*O20)/((H20+O20)*SQRT(H20^2+O20^2)),"")</f>
        <v/>
      </c>
      <c r="R20" s="7">
        <f t="shared" ref="R20" si="41">IF(P20="No opening",0,IF(P20="Single opening",1800*MAX(H20,O20)*K20*SQRT(2*Gravity*(E20/F20)*(C20/4)+L20*G20^2),1800*(H20+O20)*M20*SQRT(G20^2+(2*Gravity*Q20^2/N20)*(E20/F20)*(D20/2))))</f>
        <v>139.0502984712744</v>
      </c>
      <c r="S20" s="7">
        <f t="shared" ref="S20" si="42">IF(C20&gt;0,R20/C20,0)</f>
        <v>30.900066326949869</v>
      </c>
      <c r="T20" s="49">
        <f t="shared" ref="T20" si="43">B20*R20</f>
        <v>139050.29847127441</v>
      </c>
    </row>
    <row r="21" spans="1:20" s="8" customFormat="1" x14ac:dyDescent="0.3">
      <c r="A21" s="2" t="s">
        <v>87</v>
      </c>
      <c r="B21" s="53"/>
      <c r="C21" s="54"/>
      <c r="D21" s="54"/>
      <c r="E21" s="54"/>
      <c r="F21" s="53"/>
      <c r="G21" s="54"/>
      <c r="H21" s="55"/>
      <c r="I21" s="55"/>
      <c r="J21" s="55"/>
      <c r="K21" s="56"/>
      <c r="L21" s="56"/>
      <c r="M21" s="56"/>
      <c r="N21" s="56"/>
      <c r="O21" s="7"/>
      <c r="Q21" s="9"/>
      <c r="R21" s="7"/>
      <c r="S21" s="7"/>
      <c r="T21" s="49"/>
    </row>
    <row r="22" spans="1:20" x14ac:dyDescent="0.3">
      <c r="A22" s="52" t="s">
        <v>88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</row>
  </sheetData>
  <autoFilter ref="A4:T22" xr:uid="{00000000-0009-0000-0000-000001000000}"/>
  <mergeCells count="3">
    <mergeCell ref="A1:T1"/>
    <mergeCell ref="A2:T2"/>
    <mergeCell ref="A22:T22"/>
  </mergeCells>
  <phoneticPr fontId="8" type="noConversion"/>
  <dataValidations count="2">
    <dataValidation type="decimal" operator="greaterThanOrEqual" allowBlank="1" showInputMessage="1" showErrorMessage="1" error="請輸入非負數。" sqref="B5:N19 K20:N21 B20:G21" xr:uid="{00000000-0002-0000-0100-000000000000}">
      <formula1>0</formula1>
    </dataValidation>
    <dataValidation type="decimal" allowBlank="1" showInputMessage="1" showErrorMessage="1" error="開口比請輸入 0 到 1。" sqref="H5:J19" xr:uid="{00000000-0002-0000-0100-000001000000}">
      <formula1>0</formula1>
      <formula2>1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3"/>
  <sheetViews>
    <sheetView showGridLines="0" workbookViewId="0">
      <selection activeCell="B15" sqref="B15"/>
    </sheetView>
  </sheetViews>
  <sheetFormatPr defaultRowHeight="14.5" x14ac:dyDescent="0.3"/>
  <cols>
    <col min="1" max="1" width="24.69921875" customWidth="1"/>
    <col min="2" max="2" width="90.69921875" customWidth="1"/>
  </cols>
  <sheetData>
    <row r="1" spans="1:2" ht="21.5" x14ac:dyDescent="0.3">
      <c r="A1" s="51" t="s">
        <v>89</v>
      </c>
      <c r="B1" s="51"/>
    </row>
    <row r="3" spans="1:2" x14ac:dyDescent="0.3">
      <c r="A3" s="3" t="s">
        <v>90</v>
      </c>
      <c r="B3" s="12" t="s">
        <v>91</v>
      </c>
    </row>
    <row r="4" spans="1:2" ht="29" x14ac:dyDescent="0.3">
      <c r="A4" s="3" t="s">
        <v>92</v>
      </c>
      <c r="B4" s="12" t="s">
        <v>93</v>
      </c>
    </row>
    <row r="5" spans="1:2" x14ac:dyDescent="0.3">
      <c r="A5" s="3" t="s">
        <v>44</v>
      </c>
      <c r="B5" s="12" t="s">
        <v>94</v>
      </c>
    </row>
    <row r="6" spans="1:2" x14ac:dyDescent="0.3">
      <c r="A6" s="3" t="s">
        <v>95</v>
      </c>
      <c r="B6" s="12" t="s">
        <v>96</v>
      </c>
    </row>
    <row r="7" spans="1:2" x14ac:dyDescent="0.3">
      <c r="A7" s="3" t="s">
        <v>78</v>
      </c>
      <c r="B7" s="12" t="s">
        <v>97</v>
      </c>
    </row>
    <row r="8" spans="1:2" x14ac:dyDescent="0.3">
      <c r="A8" s="3" t="s">
        <v>98</v>
      </c>
      <c r="B8" s="12" t="s">
        <v>99</v>
      </c>
    </row>
    <row r="9" spans="1:2" x14ac:dyDescent="0.3">
      <c r="A9" s="3" t="s">
        <v>100</v>
      </c>
      <c r="B9" s="12" t="s">
        <v>101</v>
      </c>
    </row>
    <row r="10" spans="1:2" x14ac:dyDescent="0.3">
      <c r="A10" s="3" t="s">
        <v>102</v>
      </c>
      <c r="B10" s="12" t="s">
        <v>103</v>
      </c>
    </row>
    <row r="11" spans="1:2" x14ac:dyDescent="0.3">
      <c r="A11" s="3" t="s">
        <v>104</v>
      </c>
      <c r="B11" s="12" t="s">
        <v>105</v>
      </c>
    </row>
    <row r="12" spans="1:2" x14ac:dyDescent="0.3">
      <c r="A12" s="3" t="s">
        <v>106</v>
      </c>
      <c r="B12" s="12" t="s">
        <v>107</v>
      </c>
    </row>
    <row r="13" spans="1:2" ht="29" x14ac:dyDescent="0.3">
      <c r="A13" s="3" t="s">
        <v>108</v>
      </c>
      <c r="B13" s="12" t="s">
        <v>109</v>
      </c>
    </row>
  </sheetData>
  <mergeCells count="1">
    <mergeCell ref="A1:B1"/>
  </mergeCells>
  <phoneticPr fontId="8" type="noConversion"/>
  <hyperlinks>
    <hyperlink ref="B9" r:id="rId1" xr:uid="{00000000-0004-0000-0200-000000000000}"/>
    <hyperlink ref="B10" r:id="rId2" xr:uid="{00000000-0004-0000-0200-000001000000}"/>
    <hyperlink ref="B11" r:id="rId3" xr:uid="{00000000-0004-0000-02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14</vt:i4>
      </vt:variant>
    </vt:vector>
  </HeadingPairs>
  <TitlesOfParts>
    <vt:vector size="17" baseType="lpstr">
      <vt:lpstr>Calculator</vt:lpstr>
      <vt:lpstr>Batch_Cases</vt:lpstr>
      <vt:lpstr>Notes</vt:lpstr>
      <vt:lpstr>CdSingle</vt:lpstr>
      <vt:lpstr>CwRoofSide</vt:lpstr>
      <vt:lpstr>CwSingle</vt:lpstr>
      <vt:lpstr>DeltaT</vt:lpstr>
      <vt:lpstr>FloorArea</vt:lpstr>
      <vt:lpstr>Gravity</vt:lpstr>
      <vt:lpstr>HeightDiffHc</vt:lpstr>
      <vt:lpstr>HeightH</vt:lpstr>
      <vt:lpstr>KgRoofSide</vt:lpstr>
      <vt:lpstr>LeftRatio</vt:lpstr>
      <vt:lpstr>RightRatio</vt:lpstr>
      <vt:lpstr>RoofRatio</vt:lpstr>
      <vt:lpstr>ToK</vt:lpstr>
      <vt:lpstr>WindU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 Fang</dc:creator>
  <cp:lastModifiedBy>FangWei</cp:lastModifiedBy>
  <dcterms:created xsi:type="dcterms:W3CDTF">2026-03-22T15:08:12Z</dcterms:created>
  <dcterms:modified xsi:type="dcterms:W3CDTF">2026-03-22T17:30:06Z</dcterms:modified>
</cp:coreProperties>
</file>