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weifang\Downloads\"/>
    </mc:Choice>
  </mc:AlternateContent>
  <xr:revisionPtr revIDLastSave="0" documentId="13_ncr:1_{B58F6185-165D-499F-A938-EAD8E7507BCA}" xr6:coauthVersionLast="36" xr6:coauthVersionMax="36" xr10:uidLastSave="{00000000-0000-0000-0000-000000000000}"/>
  <bookViews>
    <workbookView xWindow="0" yWindow="0" windowWidth="19200" windowHeight="6760" activeTab="1" xr2:uid="{00000000-000D-0000-FFFF-FFFF00000000}"/>
  </bookViews>
  <sheets>
    <sheet name="Calculator" sheetId="1" r:id="rId1"/>
    <sheet name="Net_Impact" sheetId="2" r:id="rId2"/>
    <sheet name="Batch_Cases" sheetId="3" r:id="rId3"/>
    <sheet name="Notes" sheetId="4" r:id="rId4"/>
    <sheet name="Insect_Net_Library" sheetId="5" r:id="rId5"/>
  </sheets>
  <definedNames>
    <definedName name="CdSingle">Calculator!$B$14</definedName>
    <definedName name="CwRoofSide">Calculator!$B$17</definedName>
    <definedName name="CwSingle">Calculator!$B$15</definedName>
    <definedName name="DeltaT">Calculator!$B$8</definedName>
    <definedName name="FloorArea">Calculator!$B$5</definedName>
    <definedName name="Gravity">Calculator!$B$18</definedName>
    <definedName name="HeightDiffHc">Calculator!$B$7</definedName>
    <definedName name="HeightH">Calculator!$B$6</definedName>
    <definedName name="KgRoofSide">Calculator!$B$16</definedName>
    <definedName name="LeftRatio">Calculator!$B$12</definedName>
    <definedName name="RightRatio">Calculator!$B$13</definedName>
    <definedName name="RoofRatio">Calculator!$B$11</definedName>
    <definedName name="ToK">Calculator!$B$9</definedName>
    <definedName name="WindU">Calculator!$B$10</definedName>
  </definedNames>
  <calcPr calcId="191029"/>
</workbook>
</file>

<file path=xl/calcChain.xml><?xml version="1.0" encoding="utf-8"?>
<calcChain xmlns="http://schemas.openxmlformats.org/spreadsheetml/2006/main">
  <c r="S14" i="3" l="1"/>
  <c r="O14" i="3"/>
  <c r="Q14" i="3" s="1"/>
  <c r="S13" i="3"/>
  <c r="R13" i="3"/>
  <c r="T13" i="3" s="1"/>
  <c r="Q13" i="3"/>
  <c r="P13" i="3"/>
  <c r="O13" i="3"/>
  <c r="S12" i="3"/>
  <c r="Q12" i="3"/>
  <c r="P12" i="3"/>
  <c r="R12" i="3" s="1"/>
  <c r="T12" i="3" s="1"/>
  <c r="O12" i="3"/>
  <c r="S11" i="3"/>
  <c r="O11" i="3"/>
  <c r="Q11" i="3" s="1"/>
  <c r="S10" i="3"/>
  <c r="O10" i="3"/>
  <c r="Q10" i="3" s="1"/>
  <c r="S9" i="3"/>
  <c r="R9" i="3"/>
  <c r="T9" i="3" s="1"/>
  <c r="Q9" i="3"/>
  <c r="P9" i="3"/>
  <c r="O9" i="3"/>
  <c r="S8" i="3"/>
  <c r="Q8" i="3"/>
  <c r="P8" i="3"/>
  <c r="R8" i="3" s="1"/>
  <c r="T8" i="3" s="1"/>
  <c r="O8" i="3"/>
  <c r="S7" i="3"/>
  <c r="O7" i="3"/>
  <c r="Q7" i="3" s="1"/>
  <c r="S6" i="3"/>
  <c r="O6" i="3"/>
  <c r="Q6" i="3" s="1"/>
  <c r="R5" i="3"/>
  <c r="S5" i="3" s="1"/>
  <c r="Q5" i="3"/>
  <c r="P5" i="3"/>
  <c r="O5" i="3"/>
  <c r="V24" i="2"/>
  <c r="W24" i="2" s="1"/>
  <c r="U24" i="2"/>
  <c r="T24" i="2"/>
  <c r="S24" i="2"/>
  <c r="R24" i="2"/>
  <c r="K24" i="2"/>
  <c r="S23" i="2"/>
  <c r="U23" i="2" s="1"/>
  <c r="R23" i="2"/>
  <c r="T23" i="2" s="1"/>
  <c r="V23" i="2" s="1"/>
  <c r="W23" i="2" s="1"/>
  <c r="K23" i="2"/>
  <c r="S22" i="2"/>
  <c r="U22" i="2" s="1"/>
  <c r="R22" i="2"/>
  <c r="K22" i="2"/>
  <c r="G5" i="2"/>
  <c r="G7" i="2" s="1"/>
  <c r="G11" i="1"/>
  <c r="G5" i="1"/>
  <c r="G7" i="1" s="1"/>
  <c r="X23" i="2" l="1"/>
  <c r="X24" i="2"/>
  <c r="T22" i="2"/>
  <c r="V22" i="2" s="1"/>
  <c r="W22" i="2" s="1"/>
  <c r="T5" i="3"/>
  <c r="P7" i="3"/>
  <c r="R7" i="3" s="1"/>
  <c r="T7" i="3" s="1"/>
  <c r="P11" i="3"/>
  <c r="R11" i="3" s="1"/>
  <c r="T11" i="3" s="1"/>
  <c r="G6" i="1"/>
  <c r="G6" i="2"/>
  <c r="P6" i="3"/>
  <c r="R6" i="3" s="1"/>
  <c r="T6" i="3" s="1"/>
  <c r="P10" i="3"/>
  <c r="R10" i="3" s="1"/>
  <c r="T10" i="3" s="1"/>
  <c r="P14" i="3"/>
  <c r="R14" i="3" s="1"/>
  <c r="T14" i="3" s="1"/>
  <c r="X22" i="2" l="1"/>
  <c r="G8" i="2"/>
  <c r="G12" i="1"/>
  <c r="G8" i="1"/>
  <c r="G10" i="2"/>
  <c r="G11" i="2" l="1"/>
  <c r="G12" i="2" s="1"/>
  <c r="G13" i="2" s="1"/>
  <c r="G10" i="1"/>
  <c r="G9" i="1"/>
  <c r="G9" i="2"/>
  <c r="Y23" i="2" l="1"/>
  <c r="Z23" i="2" s="1"/>
  <c r="G17" i="2"/>
  <c r="G14" i="2"/>
  <c r="Y22" i="2"/>
  <c r="Z22" i="2" s="1"/>
  <c r="Y24" i="2"/>
  <c r="Z24" i="2" s="1"/>
  <c r="G15" i="2"/>
  <c r="G16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OpenAI</author>
  </authors>
  <commentList>
    <comment ref="L22" authorId="0" shapeId="0" xr:uid="{00000000-0006-0000-0100-000001000000}">
      <text>
        <r>
          <rPr>
            <sz val="11"/>
            <color theme="1"/>
            <rFont val="Calibri"/>
            <family val="2"/>
            <scheme val="minor"/>
          </rPr>
          <t>Reference preset name only. Mesh counts and wire diameters remain manually editable; copy values from Insect_Net_Library if needed.</t>
        </r>
      </text>
    </comment>
    <comment ref="V22" authorId="0" shapeId="0" xr:uid="{00000000-0006-0000-0100-000002000000}">
      <text>
        <r>
          <rPr>
            <sz val="11"/>
            <color theme="1"/>
            <rFont val="Calibri"/>
            <family val="2"/>
            <scheme val="minor"/>
          </rPr>
          <t>Porosity uses projected 2D opening area from mesh pitch and wire diameters. Formula form consistent with woven-screen geometry literature. Source URL in Notes.</t>
        </r>
      </text>
    </comment>
    <comment ref="W22" authorId="0" shapeId="0" xr:uid="{00000000-0006-0000-0100-000003000000}">
      <text>
        <r>
          <rPr>
            <sz val="11"/>
            <color theme="1"/>
            <rFont val="Calibri"/>
            <family val="2"/>
            <scheme val="minor"/>
          </rPr>
          <t>Approximate porosity-only screen loss coefficient K ≈ (1-φ²)/φ²; analytical review notes this Brundrett-type porosity function is one commonly used option for screen pressure-drop modelling.</t>
        </r>
      </text>
    </comment>
    <comment ref="X22" authorId="0" shapeId="0" xr:uid="{00000000-0006-0000-0100-000004000000}">
      <text>
        <r>
          <rPr>
            <sz val="11"/>
            <color theme="1"/>
            <rFont val="Calibri"/>
            <family val="2"/>
            <scheme val="minor"/>
          </rPr>
          <t>Effective K reduces with larger screen area because face velocity through the mesh falls roughly with area ratio.</t>
        </r>
      </text>
    </comment>
    <comment ref="Z22" authorId="0" shapeId="0" xr:uid="{00000000-0006-0000-0100-000005000000}">
      <text>
        <r>
          <rPr>
            <sz val="11"/>
            <color theme="1"/>
            <rFont val="Calibri"/>
            <family val="2"/>
            <scheme val="minor"/>
          </rPr>
          <t>ΔP estimate uses 0.5*rho*K*u^2 and is shown in kPa. Greenhouse literature often reports screen pressure-drop coefficients and Cd reductions from wind-tunnel tests; use those if available.</t>
        </r>
      </text>
    </comment>
    <comment ref="L23" authorId="0" shapeId="0" xr:uid="{00000000-0006-0000-0100-000006000000}">
      <text>
        <r>
          <rPr>
            <sz val="11"/>
            <color theme="1"/>
            <rFont val="Calibri"/>
            <family val="2"/>
            <scheme val="minor"/>
          </rPr>
          <t>Reference preset name only. Mesh counts and wire diameters remain manually editable; copy values from Insect_Net_Library if needed.</t>
        </r>
      </text>
    </comment>
    <comment ref="L24" authorId="0" shapeId="0" xr:uid="{00000000-0006-0000-0100-000007000000}">
      <text>
        <r>
          <rPr>
            <sz val="11"/>
            <color theme="1"/>
            <rFont val="Calibri"/>
            <family val="2"/>
            <scheme val="minor"/>
          </rPr>
          <t>Reference preset name only. Mesh counts and wire diameters remain manually editable; copy values from Insect_Net_Library if needed.</t>
        </r>
      </text>
    </comment>
  </commentList>
</comments>
</file>

<file path=xl/sharedStrings.xml><?xml version="1.0" encoding="utf-8"?>
<sst xmlns="http://schemas.openxmlformats.org/spreadsheetml/2006/main" count="279" uniqueCount="213">
  <si>
    <t>Boulard 自然通風計算器（天窗＋左右側窗）</t>
  </si>
  <si>
    <t>藍字為可修改輸入；開口比可輸入 0，代表該開口不存在。xlsm 為巨集啟用格式，但本計算器本身以公式計算。</t>
  </si>
  <si>
    <t>輸入參數</t>
  </si>
  <si>
    <t>計算結果</t>
  </si>
  <si>
    <t>Floor area Af</t>
  </si>
  <si>
    <t>m²</t>
  </si>
  <si>
    <t>僅用於換算總風量 Q_total</t>
  </si>
  <si>
    <t>Total side ratio As/Af</t>
  </si>
  <si>
    <t>Greenhouse height H</t>
  </si>
  <si>
    <t>m</t>
  </si>
  <si>
    <t>平均高度；ACH = q / H</t>
  </si>
  <si>
    <t>Ventilation mode</t>
  </si>
  <si>
    <t>Side-to-roof height diff Hc</t>
  </si>
  <si>
    <t>側窗與天窗幾何中心垂直距離</t>
  </si>
  <si>
    <t>Epsilon ε</t>
  </si>
  <si>
    <t>ΔT (indoor - outdoor)</t>
  </si>
  <si>
    <t>°C</t>
  </si>
  <si>
    <t>室內外溫差</t>
  </si>
  <si>
    <t>Absolute rate q</t>
  </si>
  <si>
    <t>m³/m²·h</t>
  </si>
  <si>
    <t>Outdoor temperature To</t>
  </si>
  <si>
    <t>K</t>
  </si>
  <si>
    <t>絕對溫度，例如 30°C ≈ 303 K</t>
  </si>
  <si>
    <t>ACH</t>
  </si>
  <si>
    <t>h⁻¹</t>
  </si>
  <si>
    <t>Outdoor wind speed uw</t>
  </si>
  <si>
    <t>m/s</t>
  </si>
  <si>
    <t>室外風速</t>
  </si>
  <si>
    <t>Total flow Q_total</t>
  </si>
  <si>
    <t>m³/h</t>
  </si>
  <si>
    <t>Roof vent ratio Ar/Af</t>
  </si>
  <si>
    <t>ratio</t>
  </si>
  <si>
    <t>天窗開口比，可輸入 0</t>
  </si>
  <si>
    <t>Check 1</t>
  </si>
  <si>
    <t>Left side vent ratio AL/Af</t>
  </si>
  <si>
    <t>左側側窗開口比，可輸入 0</t>
  </si>
  <si>
    <t>Check 2</t>
  </si>
  <si>
    <t>Right side vent ratio AR/Af</t>
  </si>
  <si>
    <t>右側側窗開口比，可輸入 0</t>
  </si>
  <si>
    <t>Cd (single-opening)</t>
  </si>
  <si>
    <t>-</t>
  </si>
  <si>
    <t>Case 1 單一開口係數</t>
  </si>
  <si>
    <t>Current formulas used</t>
  </si>
  <si>
    <t>Cw (single-opening)</t>
  </si>
  <si>
    <t>Case 1 風效應係數</t>
  </si>
  <si>
    <t>Case 1 (single opening): q = 1800*r*Cd*SQRT(2*g*(ΔT/To)*(H/4)+Cw*u²)</t>
  </si>
  <si>
    <t>Cd*SQRT(Cw) (roof+side)</t>
  </si>
  <si>
    <t>Case 2 全域係數</t>
  </si>
  <si>
    <t>Case 2 (roof + side): q = 1800*(Ar/Af+As/Af)*(Cd*SQRT(Cw))*SQRT(u² + (2*g*ε²/Cw)*(ΔT/To)*(Hc/2))</t>
  </si>
  <si>
    <t>Cw (roof+side)</t>
  </si>
  <si>
    <t>Case 2 風效應係數</t>
  </si>
  <si>
    <t>ε = SQRT(2)*rr*rs / ((rr+rs)*SQRT(rr²+rs²)); rs = 左右側窗開口比總和</t>
  </si>
  <si>
    <t>Gravity g</t>
  </si>
  <si>
    <t>m/s²</t>
  </si>
  <si>
    <t>常數；可保留 9.81</t>
  </si>
  <si>
    <t>When either roof or side total = 0, the sheet automatically switches to single-opening mode.</t>
  </si>
  <si>
    <t>Boulard 自然通風 + 防蟲網影響估算器</t>
  </si>
  <si>
    <t>藍字為可修改輸入。此頁會比較無防蟲網與有防蟲網時的絕對通風風量率、ACH，並用孔隙率估算防蟲網壓損。</t>
  </si>
  <si>
    <t>Screen loss model is an engineering estimate: K_screen ≈ (1-φ²)/φ² ; larger screen area lowers face velocity and pressure drop.</t>
  </si>
  <si>
    <t>General inputs</t>
  </si>
  <si>
    <t>Results</t>
  </si>
  <si>
    <t>Screen geometry and pressure-drop inputs</t>
  </si>
  <si>
    <t>Used to convert q to total Q</t>
  </si>
  <si>
    <t>Average interior height</t>
  </si>
  <si>
    <t/>
  </si>
  <si>
    <t>Vertical distance between side and roof vent centres</t>
  </si>
  <si>
    <t>ε geometry factor</t>
  </si>
  <si>
    <t>Indoor minus outdoor air temperature</t>
  </si>
  <si>
    <t>q without screens</t>
  </si>
  <si>
    <t>Absolute outdoor temperature, e.g. 30°C ≈ 303 K</t>
  </si>
  <si>
    <t>ACH without screens</t>
  </si>
  <si>
    <t>Outside wind speed</t>
  </si>
  <si>
    <t>Equivalent side-screen loss K_side</t>
  </si>
  <si>
    <t>Can be 0</t>
  </si>
  <si>
    <t>Total screen loss K_total</t>
  </si>
  <si>
    <t>Screen reduction factor</t>
  </si>
  <si>
    <t>q with screens</t>
  </si>
  <si>
    <t>Cd (single opening)</t>
  </si>
  <si>
    <t>Base coefficient without screen</t>
  </si>
  <si>
    <t>ACH with screens</t>
  </si>
  <si>
    <t>Cw (single opening)</t>
  </si>
  <si>
    <t>Base wind coefficient without screen</t>
  </si>
  <si>
    <t>Ventilation reduction</t>
  </si>
  <si>
    <t>%</t>
  </si>
  <si>
    <t>Base global coefficient without screen</t>
  </si>
  <si>
    <t>Total screen ΔP path</t>
  </si>
  <si>
    <t>kPa</t>
  </si>
  <si>
    <t>Total flow Q with screens</t>
  </si>
  <si>
    <t>Air density ρ</t>
  </si>
  <si>
    <t>kg/m³</t>
  </si>
  <si>
    <t>Used for screen ΔP estimate</t>
  </si>
  <si>
    <t>Constant</t>
  </si>
  <si>
    <t>Vent</t>
  </si>
  <si>
    <t>Open ratio</t>
  </si>
  <si>
    <t>Preset ref</t>
  </si>
  <si>
    <t>Mesh X (/in)</t>
  </si>
  <si>
    <t>Mesh Y (/in)</t>
  </si>
  <si>
    <t>dX (mm)</t>
  </si>
  <si>
    <t>dY (mm)</t>
  </si>
  <si>
    <t>Screen area / opening area</t>
  </si>
  <si>
    <t>Pitch X (mm)</t>
  </si>
  <si>
    <t>Pitch Y (mm)</t>
  </si>
  <si>
    <t>Opening X (mm)</t>
  </si>
  <si>
    <t>Opening Y (mm)</t>
  </si>
  <si>
    <t>Porosity φ</t>
  </si>
  <si>
    <t>K_screen raw</t>
  </si>
  <si>
    <t>K_screen effective</t>
  </si>
  <si>
    <t>Face velocity u_s (m/s)</t>
  </si>
  <si>
    <t>ΔP (kPa)</t>
  </si>
  <si>
    <t>Roof</t>
  </si>
  <si>
    <t>40x25_0.16</t>
  </si>
  <si>
    <t>Left side</t>
  </si>
  <si>
    <t>Right side</t>
  </si>
  <si>
    <t>How screen loss is applied</t>
  </si>
  <si>
    <t>1) Base q uses the same Boulard formulas as the original workbook (no screen).</t>
  </si>
  <si>
    <t>3) Raw loss coefficient uses K ≈ (1-φ²)/φ².</t>
  </si>
  <si>
    <t>4) Effective loss is reduced by larger screen area: K_eff = K / (AreaFactor²).</t>
  </si>
  <si>
    <t>5) For roof+side, total screen loss is approximated as roof loss + equivalent side loss.</t>
  </si>
  <si>
    <t>6) ΔP is estimated from ΔP = 0.5·ρ·K·u_s² and shown in kPa.</t>
  </si>
  <si>
    <t>Batch scenario table (copy row 5 downward to compare multiple cases)</t>
  </si>
  <si>
    <t>Editable inputs are blue. You can set any of Roof / Left / Right vent ratios to 0.</t>
  </si>
  <si>
    <t>Case</t>
  </si>
  <si>
    <t>Af</t>
  </si>
  <si>
    <t>H</t>
  </si>
  <si>
    <t>Hc</t>
  </si>
  <si>
    <t>ΔT</t>
  </si>
  <si>
    <t>To(K)</t>
  </si>
  <si>
    <t>u_w</t>
  </si>
  <si>
    <t>Left</t>
  </si>
  <si>
    <t>Right</t>
  </si>
  <si>
    <t>Cd1</t>
  </si>
  <si>
    <t>Cw1</t>
  </si>
  <si>
    <t>Cd√Cw_2</t>
  </si>
  <si>
    <t>Cw2</t>
  </si>
  <si>
    <t>As_total</t>
  </si>
  <si>
    <t>Mode</t>
  </si>
  <si>
    <t>ε</t>
  </si>
  <si>
    <t>q (m³/m²·h)</t>
  </si>
  <si>
    <t>Q_total (m³/h)</t>
  </si>
  <si>
    <t>Default</t>
  </si>
  <si>
    <t>Case 2</t>
  </si>
  <si>
    <t>Case 3</t>
  </si>
  <si>
    <t>Case 4</t>
  </si>
  <si>
    <t>Case 5</t>
  </si>
  <si>
    <t>Case 6</t>
  </si>
  <si>
    <t>Case 7</t>
  </si>
  <si>
    <t>Case 8</t>
  </si>
  <si>
    <t>Case 9</t>
  </si>
  <si>
    <t>Case 10</t>
  </si>
  <si>
    <t>Tip</t>
  </si>
  <si>
    <t>For roof+side cases, set Hc explicitly. For roof-only or side-only cases, Hc is ignored.</t>
  </si>
  <si>
    <t>Notes / References</t>
  </si>
  <si>
    <t>Usage</t>
  </si>
  <si>
    <t>Enter vent ratios as fractions of floor area. Example: 20% = 0.20.</t>
  </si>
  <si>
    <t>Vent handling</t>
  </si>
  <si>
    <t>Roof, left side, and right side ratios all allow 0. The workbook automatically chooses no-opening, single-opening, or roof+side mode.</t>
  </si>
  <si>
    <t>ACH = q / H, where q is in m³/m²·h and H is greenhouse average height in m.</t>
  </si>
  <si>
    <t>Case 1</t>
  </si>
  <si>
    <t>Single-opening formula based on Boulard/Baille style expression with Cd and Cw.</t>
  </si>
  <si>
    <t>Roof+side formula based on Boulard/Kittas style expression with ε geometry factor and Cd*SQRT(Cw).</t>
  </si>
  <si>
    <t>Practical note</t>
  </si>
  <si>
    <t>Case 2 still needs Cw separately because the buoyancy term contains 1/Cw inside the square root.</t>
  </si>
  <si>
    <t>Source URL 1</t>
  </si>
  <si>
    <t>https://efwe.ukzn.ac.za/wp-content/uploads/2021/11/Thipe_EL.pdf</t>
  </si>
  <si>
    <t>Source URL 2</t>
  </si>
  <si>
    <t>https://www.mdpi.com/2073-4395/12/9/1995</t>
  </si>
  <si>
    <t>Source URL 3</t>
  </si>
  <si>
    <t>https://elibrary.asabe.org/abstract.asp?aid=21268</t>
  </si>
  <si>
    <t>Default coefficients</t>
  </si>
  <si>
    <t>Defaults are editable engineering starting values, not site-specific measurements.</t>
  </si>
  <si>
    <t>Macro format</t>
  </si>
  <si>
    <t>This workbook is saved as .xlsm. The calculator itself uses worksheet formulas, so calculations still work even if macros are not enabled in Excel.</t>
  </si>
  <si>
    <t>Screen model</t>
  </si>
  <si>
    <t>Added sheet Net_Impact estimates screen porosity from mesh count and wire diameter, computes an approximate screen-loss coefficient K ≈ (1-φ²)/φ², then reduces q and ACH with a simple series-loss approximation. Larger screen area lowers face velocity and reduces ΔP.</t>
  </si>
  <si>
    <t>Source URL 4</t>
  </si>
  <si>
    <t>https://gala.gre.ac.uk/id/eprint/38584/7/38584_LAI_Semi_analytical_calculation_of_pore_related_parameters.pdf</t>
  </si>
  <si>
    <t>Source URL 5</t>
  </si>
  <si>
    <t>https://www.insongreen.com/greenhouse-screens/</t>
  </si>
  <si>
    <t>Source URL 6</t>
  </si>
  <si>
    <t>https://pmc.ncbi.nlm.nih.gov/articles/PMC4883381/</t>
  </si>
  <si>
    <t>Caution</t>
  </si>
  <si>
    <t>If manufacturer wind-tunnel data for Cd,φ or pressure-drop curves are available, those measured values are preferable to the porosity-only estimate used here.</t>
  </si>
  <si>
    <t>Commercial greenhouse insect-net examples</t>
  </si>
  <si>
    <t>Reference examples from commercial catalog; users may copy/modify values into Net_Impact.</t>
  </si>
  <si>
    <t>Preset</t>
  </si>
  <si>
    <t>Mesh X (/inch)</t>
  </si>
  <si>
    <t>Mesh Y (/inch)</t>
  </si>
  <si>
    <t>Wire dia X (mm)</t>
  </si>
  <si>
    <t>Wire dia Y (mm)</t>
  </si>
  <si>
    <t>Typical use</t>
  </si>
  <si>
    <t>Source URL</t>
  </si>
  <si>
    <t>32x25_0.15</t>
  </si>
  <si>
    <t>32</t>
  </si>
  <si>
    <t>25</t>
  </si>
  <si>
    <t>Standard / larger insects</t>
  </si>
  <si>
    <t>40</t>
  </si>
  <si>
    <t>Whitefly / aphid class</t>
  </si>
  <si>
    <t>50x25_0.19</t>
  </si>
  <si>
    <t>50</t>
  </si>
  <si>
    <t>Finer exclusion</t>
  </si>
  <si>
    <t>60x30_0.16</t>
  </si>
  <si>
    <t>60</t>
  </si>
  <si>
    <t>30</t>
  </si>
  <si>
    <t>Anti-thrip / fine mesh</t>
  </si>
  <si>
    <t>60x40_0.16</t>
  </si>
  <si>
    <t>Very fine / high resistance</t>
  </si>
  <si>
    <t>2) Porosity φ is calculated from mesh counts and wire diameters.</t>
    <phoneticPr fontId="14" type="noConversion"/>
  </si>
  <si>
    <t>roof</t>
    <phoneticPr fontId="14" type="noConversion"/>
  </si>
  <si>
    <t>left side</t>
    <phoneticPr fontId="14" type="noConversion"/>
  </si>
  <si>
    <t>right side</t>
    <phoneticPr fontId="14" type="noConversion"/>
  </si>
  <si>
    <t>no screen</t>
    <phoneticPr fontId="14" type="noConversion"/>
  </si>
  <si>
    <t>q with/wo screens</t>
    <phoneticPr fontId="14" type="noConversion"/>
  </si>
  <si>
    <t>ACH with/wo screens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</si>
</sst>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0.0000"/>
    <numFmt numFmtId="178" formatCode="0.0%"/>
    <numFmt numFmtId="179" formatCode="0.000"/>
    <numFmt numFmtId="180" formatCode="#,##0.0"/>
  </numFmts>
  <fonts count="17" x14ac:knownFonts="1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sz val="11"/>
      <color rgb="FF7F60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FF"/>
      <name val="Calibri"/>
      <family val="2"/>
      <scheme val="minor"/>
    </font>
    <font>
      <sz val="9"/>
      <color rgb="FF666666"/>
      <name val="Calibri"/>
      <family val="2"/>
      <scheme val="minor"/>
    </font>
    <font>
      <sz val="11"/>
      <color rgb="FF666666"/>
      <name val="Calibri"/>
      <family val="2"/>
      <scheme val="minor"/>
    </font>
    <font>
      <b/>
      <sz val="14"/>
      <name val="Calibri"/>
      <family val="2"/>
    </font>
    <font>
      <b/>
      <sz val="11"/>
      <color rgb="FFFFFFFF"/>
      <name val="Calibri"/>
      <family val="2"/>
    </font>
    <font>
      <b/>
      <sz val="16"/>
      <name val="Calibri"/>
      <family val="2"/>
    </font>
    <font>
      <sz val="11"/>
      <color rgb="FF0000FF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9"/>
      <name val="Calibri"/>
      <family val="3"/>
      <charset val="136"/>
      <scheme val="minor"/>
    </font>
    <font>
      <sz val="14"/>
      <color theme="1"/>
      <name val="Calibri"/>
      <family val="2"/>
      <scheme val="minor"/>
    </font>
    <font>
      <b/>
      <sz val="14"/>
      <color rgb="FFFFFFFF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FFF2CC"/>
      </patternFill>
    </fill>
    <fill>
      <patternFill patternType="solid">
        <fgColor rgb="FF4F81BD"/>
      </patternFill>
    </fill>
    <fill>
      <patternFill patternType="solid">
        <fgColor rgb="FFF7FBFF"/>
      </patternFill>
    </fill>
    <fill>
      <patternFill patternType="solid">
        <fgColor rgb="FFE6F7F5"/>
      </patternFill>
    </fill>
    <fill>
      <patternFill patternType="solid">
        <fgColor rgb="FFF2F2F2"/>
      </patternFill>
    </fill>
    <fill>
      <patternFill patternType="solid">
        <fgColor rgb="FFD9EAF7"/>
      </patternFill>
    </fill>
    <fill>
      <patternFill patternType="solid">
        <fgColor rgb="FF1F4E78"/>
      </patternFill>
    </fill>
    <fill>
      <patternFill patternType="solid">
        <fgColor rgb="FF4F81BD"/>
      </patternFill>
    </fill>
  </fills>
  <borders count="12">
    <border>
      <left/>
      <right/>
      <top/>
      <bottom/>
      <diagonal/>
    </border>
    <border>
      <left style="thin">
        <color rgb="FFD9EAF7"/>
      </left>
      <right style="thin">
        <color rgb="FFD9EAF7"/>
      </right>
      <top style="thin">
        <color rgb="FFD9EAF7"/>
      </top>
      <bottom style="thin">
        <color rgb="FFD9EAF7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3" fillId="0" borderId="0"/>
  </cellStyleXfs>
  <cellXfs count="65">
    <xf numFmtId="0" fontId="0" fillId="0" borderId="0" xfId="0"/>
    <xf numFmtId="0" fontId="2" fillId="3" borderId="0" xfId="1" applyFont="1" applyFill="1" applyAlignment="1">
      <alignment vertical="top" wrapText="1"/>
    </xf>
    <xf numFmtId="0" fontId="3" fillId="4" borderId="0" xfId="1" applyFont="1" applyFill="1"/>
    <xf numFmtId="0" fontId="4" fillId="0" borderId="0" xfId="1" applyFont="1"/>
    <xf numFmtId="0" fontId="6" fillId="0" borderId="0" xfId="1" applyFont="1"/>
    <xf numFmtId="0" fontId="6" fillId="0" borderId="0" xfId="1" applyFont="1" applyAlignment="1">
      <alignment wrapText="1"/>
    </xf>
    <xf numFmtId="0" fontId="0" fillId="0" borderId="0" xfId="1" applyFont="1"/>
    <xf numFmtId="0" fontId="0" fillId="0" borderId="0" xfId="1" applyFont="1" applyAlignment="1">
      <alignment vertical="top" wrapText="1"/>
    </xf>
    <xf numFmtId="0" fontId="4" fillId="8" borderId="0" xfId="1" applyFont="1" applyFill="1"/>
    <xf numFmtId="0" fontId="5" fillId="5" borderId="1" xfId="1" applyFont="1" applyFill="1" applyBorder="1"/>
    <xf numFmtId="2" fontId="5" fillId="5" borderId="1" xfId="1" applyNumberFormat="1" applyFont="1" applyFill="1" applyBorder="1"/>
    <xf numFmtId="176" fontId="0" fillId="0" borderId="0" xfId="1" applyNumberFormat="1" applyFont="1"/>
    <xf numFmtId="177" fontId="0" fillId="0" borderId="0" xfId="1" applyNumberFormat="1" applyFont="1"/>
    <xf numFmtId="176" fontId="4" fillId="6" borderId="0" xfId="1" applyNumberFormat="1" applyFont="1" applyFill="1"/>
    <xf numFmtId="178" fontId="5" fillId="5" borderId="1" xfId="1" applyNumberFormat="1" applyFont="1" applyFill="1" applyBorder="1"/>
    <xf numFmtId="2" fontId="7" fillId="7" borderId="0" xfId="1" applyNumberFormat="1" applyFont="1" applyFill="1"/>
    <xf numFmtId="0" fontId="10" fillId="0" borderId="0" xfId="1" applyFont="1"/>
    <xf numFmtId="0" fontId="9" fillId="9" borderId="0" xfId="1" applyFont="1" applyFill="1" applyAlignment="1">
      <alignment horizontal="center"/>
    </xf>
    <xf numFmtId="3" fontId="11" fillId="5" borderId="1" xfId="1" applyNumberFormat="1" applyFont="1" applyFill="1" applyBorder="1" applyAlignment="1">
      <alignment horizontal="center"/>
    </xf>
    <xf numFmtId="0" fontId="12" fillId="0" borderId="0" xfId="1" applyFont="1" applyAlignment="1">
      <alignment horizontal="center"/>
    </xf>
    <xf numFmtId="2" fontId="11" fillId="5" borderId="1" xfId="1" applyNumberFormat="1" applyFont="1" applyFill="1" applyBorder="1" applyAlignment="1">
      <alignment horizontal="center"/>
    </xf>
    <xf numFmtId="176" fontId="12" fillId="0" borderId="0" xfId="1" applyNumberFormat="1" applyFont="1" applyAlignment="1">
      <alignment horizontal="center"/>
    </xf>
    <xf numFmtId="178" fontId="12" fillId="0" borderId="0" xfId="1" applyNumberFormat="1" applyFont="1" applyAlignment="1">
      <alignment horizontal="center"/>
    </xf>
    <xf numFmtId="3" fontId="0" fillId="0" borderId="0" xfId="1" applyNumberFormat="1" applyFont="1"/>
    <xf numFmtId="0" fontId="0" fillId="0" borderId="2" xfId="1" applyFont="1" applyBorder="1" applyAlignment="1">
      <alignment horizontal="center"/>
    </xf>
    <xf numFmtId="0" fontId="11" fillId="5" borderId="2" xfId="1" applyFont="1" applyFill="1" applyBorder="1" applyAlignment="1">
      <alignment horizontal="center"/>
    </xf>
    <xf numFmtId="179" fontId="11" fillId="5" borderId="2" xfId="1" applyNumberFormat="1" applyFont="1" applyFill="1" applyBorder="1" applyAlignment="1">
      <alignment horizontal="center"/>
    </xf>
    <xf numFmtId="179" fontId="0" fillId="0" borderId="2" xfId="1" applyNumberFormat="1" applyFont="1" applyBorder="1" applyAlignment="1">
      <alignment horizontal="center"/>
    </xf>
    <xf numFmtId="177" fontId="0" fillId="0" borderId="2" xfId="1" applyNumberFormat="1" applyFont="1" applyBorder="1" applyAlignment="1">
      <alignment horizontal="center"/>
    </xf>
    <xf numFmtId="0" fontId="8" fillId="0" borderId="0" xfId="1" applyFont="1"/>
    <xf numFmtId="0" fontId="9" fillId="9" borderId="0" xfId="1" applyFont="1" applyFill="1" applyAlignment="1">
      <alignment horizontal="center" vertical="center"/>
    </xf>
    <xf numFmtId="0" fontId="0" fillId="0" borderId="0" xfId="1" applyFont="1" applyAlignment="1">
      <alignment horizontal="center"/>
    </xf>
    <xf numFmtId="2" fontId="0" fillId="0" borderId="0" xfId="1" applyNumberFormat="1" applyFont="1" applyAlignment="1">
      <alignment horizontal="center"/>
    </xf>
    <xf numFmtId="0" fontId="0" fillId="0" borderId="0" xfId="1" applyFont="1" applyAlignment="1">
      <alignment horizontal="left"/>
    </xf>
    <xf numFmtId="177" fontId="12" fillId="0" borderId="0" xfId="1" applyNumberFormat="1" applyFont="1" applyAlignment="1">
      <alignment horizontal="center"/>
    </xf>
    <xf numFmtId="180" fontId="12" fillId="0" borderId="0" xfId="1" applyNumberFormat="1" applyFont="1" applyAlignment="1">
      <alignment horizontal="center"/>
    </xf>
    <xf numFmtId="0" fontId="2" fillId="3" borderId="0" xfId="1" applyFont="1" applyFill="1" applyAlignment="1">
      <alignment vertical="top" wrapText="1"/>
    </xf>
    <xf numFmtId="0" fontId="0" fillId="0" borderId="0" xfId="1" applyFont="1"/>
    <xf numFmtId="0" fontId="1" fillId="2" borderId="0" xfId="1" applyFont="1" applyFill="1" applyAlignment="1">
      <alignment horizontal="center" vertical="center"/>
    </xf>
    <xf numFmtId="0" fontId="4" fillId="0" borderId="3" xfId="1" applyFont="1" applyBorder="1"/>
    <xf numFmtId="176" fontId="12" fillId="0" borderId="4" xfId="1" applyNumberFormat="1" applyFont="1" applyBorder="1" applyAlignment="1">
      <alignment horizontal="center"/>
    </xf>
    <xf numFmtId="0" fontId="4" fillId="0" borderId="5" xfId="1" applyFont="1" applyBorder="1"/>
    <xf numFmtId="0" fontId="4" fillId="0" borderId="6" xfId="1" applyFont="1" applyBorder="1"/>
    <xf numFmtId="176" fontId="12" fillId="0" borderId="7" xfId="1" applyNumberFormat="1" applyFont="1" applyBorder="1" applyAlignment="1">
      <alignment horizontal="center"/>
    </xf>
    <xf numFmtId="0" fontId="4" fillId="0" borderId="8" xfId="1" applyFont="1" applyBorder="1"/>
    <xf numFmtId="0" fontId="0" fillId="0" borderId="0" xfId="1" applyFont="1" applyAlignment="1">
      <alignment horizontal="left" wrapText="1"/>
    </xf>
    <xf numFmtId="0" fontId="0" fillId="0" borderId="9" xfId="1" applyFont="1" applyBorder="1"/>
    <xf numFmtId="0" fontId="0" fillId="0" borderId="10" xfId="1" applyFont="1" applyBorder="1"/>
    <xf numFmtId="0" fontId="0" fillId="0" borderId="11" xfId="1" applyFont="1" applyBorder="1"/>
    <xf numFmtId="0" fontId="16" fillId="10" borderId="0" xfId="1" applyFont="1" applyFill="1" applyBorder="1" applyAlignment="1">
      <alignment horizontal="center" vertical="center" wrapText="1"/>
    </xf>
    <xf numFmtId="0" fontId="15" fillId="0" borderId="9" xfId="1" applyFont="1" applyBorder="1" applyAlignment="1">
      <alignment horizontal="center" vertical="center"/>
    </xf>
    <xf numFmtId="0" fontId="15" fillId="0" borderId="9" xfId="1" applyFont="1" applyBorder="1" applyAlignment="1">
      <alignment horizontal="left" vertical="center"/>
    </xf>
    <xf numFmtId="0" fontId="15" fillId="0" borderId="10" xfId="1" applyFont="1" applyBorder="1" applyAlignment="1">
      <alignment horizontal="left" vertical="center"/>
    </xf>
    <xf numFmtId="0" fontId="15" fillId="0" borderId="11" xfId="1" applyFont="1" applyBorder="1" applyAlignment="1">
      <alignment horizontal="left" vertical="center"/>
    </xf>
    <xf numFmtId="0" fontId="4" fillId="0" borderId="10" xfId="1" applyFont="1" applyBorder="1"/>
    <xf numFmtId="0" fontId="4" fillId="0" borderId="11" xfId="1" applyFont="1" applyBorder="1"/>
    <xf numFmtId="0" fontId="15" fillId="0" borderId="4" xfId="1" applyFont="1" applyBorder="1"/>
    <xf numFmtId="0" fontId="15" fillId="0" borderId="0" xfId="1" applyFont="1" applyBorder="1"/>
    <xf numFmtId="0" fontId="15" fillId="0" borderId="7" xfId="1" applyFont="1" applyBorder="1"/>
    <xf numFmtId="176" fontId="15" fillId="0" borderId="0" xfId="1" applyNumberFormat="1" applyFont="1" applyBorder="1"/>
    <xf numFmtId="176" fontId="15" fillId="0" borderId="10" xfId="1" applyNumberFormat="1" applyFont="1" applyBorder="1"/>
    <xf numFmtId="176" fontId="15" fillId="0" borderId="7" xfId="1" applyNumberFormat="1" applyFont="1" applyBorder="1"/>
    <xf numFmtId="176" fontId="15" fillId="0" borderId="11" xfId="1" applyNumberFormat="1" applyFont="1" applyBorder="1"/>
    <xf numFmtId="0" fontId="9" fillId="9" borderId="0" xfId="1" applyFont="1" applyFill="1" applyAlignment="1">
      <alignment horizontal="center"/>
    </xf>
    <xf numFmtId="0" fontId="9" fillId="10" borderId="2" xfId="1" applyFont="1" applyFill="1" applyBorder="1" applyAlignment="1">
      <alignment horizontal="center" vertical="center" wrapText="1"/>
    </xf>
  </cellXfs>
  <cellStyles count="2">
    <cellStyle name="Normal" xfId="1" xr:uid="{00000000-0005-0000-0000-000000000000}"/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0cd84d66542e494a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711200</xdr:colOff>
      <xdr:row>24</xdr:row>
      <xdr:rowOff>171450</xdr:rowOff>
    </xdr:to>
    <xdr:sp macro="" textlink="">
      <xdr:nvSpPr>
        <xdr:cNvPr id="1032" name="Text Box 8" hidden="1">
          <a:extLst>
            <a:ext uri="{FF2B5EF4-FFF2-40B4-BE49-F238E27FC236}">
              <a16:creationId xmlns:a16="http://schemas.microsoft.com/office/drawing/2014/main" id="{D2409186-75A2-464E-AFCF-AF686CF28622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6350000" cy="635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persons/person.xml><?xml version="1.0" encoding="utf-8"?>
<xltc:personList xmlns:xltc="http://schemas.microsoft.com/office/spreadsheetml/2018/threadedcomments">
  <xltc:person displayName="OpenAI" id="{CE5F4117-52AB-4EB7-E703-E7AD5811E9DC}"/>
</xltc:personList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showGridLines="0" workbookViewId="0">
      <selection activeCell="H18" sqref="H18"/>
    </sheetView>
  </sheetViews>
  <sheetFormatPr defaultRowHeight="14.5" x14ac:dyDescent="0.35"/>
  <cols>
    <col min="1" max="1" width="27.7265625" style="6" customWidth="1"/>
    <col min="2" max="3" width="12.7265625" style="6" customWidth="1"/>
    <col min="4" max="4" width="32.7265625" style="6" customWidth="1"/>
    <col min="5" max="5" width="4.7265625" style="6" customWidth="1"/>
    <col min="6" max="6" width="24.7265625" style="6" customWidth="1"/>
    <col min="7" max="7" width="16.7265625" style="6" customWidth="1"/>
    <col min="8" max="8" width="34.7265625" style="6" customWidth="1"/>
  </cols>
  <sheetData>
    <row r="1" spans="1:8" ht="21" x14ac:dyDescent="0.35">
      <c r="A1" s="38" t="s">
        <v>0</v>
      </c>
      <c r="B1" s="37"/>
      <c r="C1" s="37"/>
      <c r="D1" s="37"/>
      <c r="E1" s="37"/>
      <c r="F1" s="37"/>
      <c r="G1" s="37"/>
      <c r="H1" s="37"/>
    </row>
    <row r="2" spans="1:8" x14ac:dyDescent="0.35">
      <c r="A2" s="36" t="s">
        <v>1</v>
      </c>
      <c r="B2" s="37"/>
      <c r="C2" s="37"/>
      <c r="D2" s="37"/>
      <c r="E2" s="37"/>
      <c r="F2" s="37"/>
      <c r="G2" s="37"/>
      <c r="H2" s="37"/>
    </row>
    <row r="4" spans="1:8" x14ac:dyDescent="0.35">
      <c r="A4" s="2" t="s">
        <v>2</v>
      </c>
      <c r="F4" s="2" t="s">
        <v>3</v>
      </c>
    </row>
    <row r="5" spans="1:8" x14ac:dyDescent="0.35">
      <c r="A5" s="3" t="s">
        <v>4</v>
      </c>
      <c r="B5" s="10">
        <v>1000</v>
      </c>
      <c r="C5" s="4" t="s">
        <v>5</v>
      </c>
      <c r="D5" s="5" t="s">
        <v>6</v>
      </c>
      <c r="F5" s="3" t="s">
        <v>7</v>
      </c>
      <c r="G5" s="11">
        <f>LeftRatio+RightRatio</f>
        <v>0.4</v>
      </c>
    </row>
    <row r="6" spans="1:8" x14ac:dyDescent="0.35">
      <c r="A6" s="3" t="s">
        <v>8</v>
      </c>
      <c r="B6" s="10">
        <v>4.5</v>
      </c>
      <c r="C6" s="4" t="s">
        <v>9</v>
      </c>
      <c r="D6" s="5" t="s">
        <v>10</v>
      </c>
      <c r="F6" s="3" t="s">
        <v>11</v>
      </c>
      <c r="G6" t="str">
        <f>IF(AND(RoofRatio&lt;=0,G5&lt;=0),"No opening",IF(AND(RoofRatio&gt;0,G5&gt;0),"Roof + side","Single opening"))</f>
        <v>Roof + side</v>
      </c>
    </row>
    <row r="7" spans="1:8" x14ac:dyDescent="0.35">
      <c r="A7" s="3" t="s">
        <v>12</v>
      </c>
      <c r="B7" s="10">
        <v>3</v>
      </c>
      <c r="C7" s="4" t="s">
        <v>9</v>
      </c>
      <c r="D7" s="5" t="s">
        <v>13</v>
      </c>
      <c r="F7" s="3" t="s">
        <v>14</v>
      </c>
      <c r="G7" s="12">
        <f>IF(AND(RoofRatio&gt;0,G5&gt;0),(SQRT(2)*RoofRatio*G5)/((RoofRatio+G5)*SQRT(RoofRatio^2+G5^2)),"")</f>
        <v>0.4216370213557839</v>
      </c>
    </row>
    <row r="8" spans="1:8" x14ac:dyDescent="0.35">
      <c r="A8" s="3" t="s">
        <v>15</v>
      </c>
      <c r="B8" s="10">
        <v>5</v>
      </c>
      <c r="C8" s="4" t="s">
        <v>16</v>
      </c>
      <c r="D8" s="5" t="s">
        <v>17</v>
      </c>
      <c r="F8" s="3" t="s">
        <v>18</v>
      </c>
      <c r="G8" s="13">
        <f>IF(G6="No opening",0,IF(G6="Single opening",1800*MAX(RoofRatio,G5)*CdSingle*SQRT(2*Gravity*(DeltaT/ToK)*(HeightH/4)+CwSingle*WindU^2),1800*(RoofRatio+G5)*KgRoofSide*SQRT(WindU^2+(2*Gravity*G7^2/CwRoofSide)*(DeltaT/ToK)*(HeightDiffHc/2))))</f>
        <v>690.97655511393066</v>
      </c>
      <c r="H8" s="4" t="s">
        <v>19</v>
      </c>
    </row>
    <row r="9" spans="1:8" x14ac:dyDescent="0.35">
      <c r="A9" s="3" t="s">
        <v>20</v>
      </c>
      <c r="B9" s="10">
        <v>303</v>
      </c>
      <c r="C9" s="4" t="s">
        <v>21</v>
      </c>
      <c r="D9" s="5" t="s">
        <v>22</v>
      </c>
      <c r="F9" s="3" t="s">
        <v>23</v>
      </c>
      <c r="G9" s="13">
        <f>IF(HeightH&gt;0,G8/HeightH,0)</f>
        <v>153.55034558087348</v>
      </c>
      <c r="H9" s="4" t="s">
        <v>24</v>
      </c>
    </row>
    <row r="10" spans="1:8" x14ac:dyDescent="0.35">
      <c r="A10" s="3" t="s">
        <v>25</v>
      </c>
      <c r="B10" s="10">
        <v>3</v>
      </c>
      <c r="C10" s="4" t="s">
        <v>26</v>
      </c>
      <c r="D10" s="5" t="s">
        <v>27</v>
      </c>
      <c r="F10" s="3" t="s">
        <v>28</v>
      </c>
      <c r="G10" s="11">
        <f>FloorArea*G8</f>
        <v>690976.5551139306</v>
      </c>
      <c r="H10" s="4" t="s">
        <v>29</v>
      </c>
    </row>
    <row r="11" spans="1:8" x14ac:dyDescent="0.35">
      <c r="A11" s="3" t="s">
        <v>30</v>
      </c>
      <c r="B11" s="14">
        <v>0.2</v>
      </c>
      <c r="C11" s="4" t="s">
        <v>31</v>
      </c>
      <c r="D11" s="5" t="s">
        <v>32</v>
      </c>
      <c r="F11" s="3" t="s">
        <v>33</v>
      </c>
      <c r="G11" s="1" t="str">
        <f>IF(SUM(RoofRatio,LeftRatio,RightRatio)&gt;1,"Warning: opening ratios sum &gt; 1.0","")</f>
        <v/>
      </c>
    </row>
    <row r="12" spans="1:8" x14ac:dyDescent="0.35">
      <c r="A12" s="3" t="s">
        <v>34</v>
      </c>
      <c r="B12" s="14">
        <v>0.2</v>
      </c>
      <c r="C12" s="4" t="s">
        <v>31</v>
      </c>
      <c r="D12" s="5" t="s">
        <v>35</v>
      </c>
      <c r="F12" s="3" t="s">
        <v>36</v>
      </c>
      <c r="G12" s="1" t="str">
        <f>IF(AND(G6="Roof + side",HeightDiffHc&gt;HeightH),"Warning: Hc &gt; H","")</f>
        <v/>
      </c>
    </row>
    <row r="13" spans="1:8" x14ac:dyDescent="0.35">
      <c r="A13" s="3" t="s">
        <v>37</v>
      </c>
      <c r="B13" s="14">
        <v>0.2</v>
      </c>
      <c r="C13" s="4" t="s">
        <v>31</v>
      </c>
      <c r="D13" s="5" t="s">
        <v>38</v>
      </c>
    </row>
    <row r="14" spans="1:8" x14ac:dyDescent="0.35">
      <c r="A14" s="3" t="s">
        <v>39</v>
      </c>
      <c r="B14" s="10">
        <v>0.64</v>
      </c>
      <c r="C14" s="4" t="s">
        <v>40</v>
      </c>
      <c r="D14" s="5" t="s">
        <v>41</v>
      </c>
      <c r="F14" s="2" t="s">
        <v>42</v>
      </c>
    </row>
    <row r="15" spans="1:8" ht="43.5" x14ac:dyDescent="0.35">
      <c r="A15" s="3" t="s">
        <v>43</v>
      </c>
      <c r="B15" s="10">
        <v>0.1</v>
      </c>
      <c r="C15" s="4" t="s">
        <v>40</v>
      </c>
      <c r="D15" s="5" t="s">
        <v>44</v>
      </c>
      <c r="F15" s="7" t="s">
        <v>45</v>
      </c>
    </row>
    <row r="16" spans="1:8" ht="58" x14ac:dyDescent="0.35">
      <c r="A16" s="3" t="s">
        <v>46</v>
      </c>
      <c r="B16" s="10">
        <v>0.2</v>
      </c>
      <c r="C16" s="4" t="s">
        <v>40</v>
      </c>
      <c r="D16" s="5" t="s">
        <v>47</v>
      </c>
      <c r="F16" s="7" t="s">
        <v>48</v>
      </c>
    </row>
    <row r="17" spans="1:6" ht="43.5" x14ac:dyDescent="0.35">
      <c r="A17" s="3" t="s">
        <v>49</v>
      </c>
      <c r="B17" s="10">
        <v>7.0000000000000007E-2</v>
      </c>
      <c r="C17" s="4" t="s">
        <v>40</v>
      </c>
      <c r="D17" s="5" t="s">
        <v>50</v>
      </c>
      <c r="F17" s="7" t="s">
        <v>51</v>
      </c>
    </row>
    <row r="18" spans="1:6" ht="58" x14ac:dyDescent="0.35">
      <c r="A18" s="3" t="s">
        <v>52</v>
      </c>
      <c r="B18" s="15">
        <v>9.81</v>
      </c>
      <c r="C18" s="4" t="s">
        <v>53</v>
      </c>
      <c r="D18" s="5" t="s">
        <v>54</v>
      </c>
      <c r="F18" s="7" t="s">
        <v>55</v>
      </c>
    </row>
  </sheetData>
  <mergeCells count="2">
    <mergeCell ref="A2:H2"/>
    <mergeCell ref="A1:H1"/>
  </mergeCells>
  <phoneticPr fontId="14" type="noConversion"/>
  <dataValidations count="2">
    <dataValidation type="decimal" operator="greaterThanOrEqual" allowBlank="1" showInputMessage="1" showErrorMessage="1" error="請輸入大於或等於 0 的數值。" sqref="B5:B10 B14:B18" xr:uid="{00000000-0002-0000-0000-000000000000}">
      <formula1>0</formula1>
    </dataValidation>
    <dataValidation type="decimal" allowBlank="1" showInputMessage="1" showErrorMessage="1" error="開口比請輸入 0 到 1 之間。" sqref="B11:B13" xr:uid="{00000000-0002-0000-0000-000001000000}">
      <formula1>0</formula1>
      <formula2>1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32"/>
  <sheetViews>
    <sheetView showGridLines="0" tabSelected="1" workbookViewId="0">
      <selection activeCell="J21" sqref="J21:Z21"/>
    </sheetView>
  </sheetViews>
  <sheetFormatPr defaultRowHeight="14.5" x14ac:dyDescent="0.35"/>
  <cols>
    <col min="1" max="1" width="22" style="6" customWidth="1"/>
    <col min="2" max="2" width="12" style="6" customWidth="1"/>
    <col min="3" max="3" width="10" style="6" customWidth="1"/>
    <col min="4" max="4" width="28" style="6" customWidth="1"/>
    <col min="6" max="6" width="24" style="6" customWidth="1"/>
    <col min="7" max="8" width="14" style="6" customWidth="1"/>
    <col min="10" max="10" width="11.36328125" style="6" customWidth="1"/>
    <col min="11" max="11" width="10.08984375" style="6" customWidth="1"/>
    <col min="12" max="12" width="10.81640625" style="6" customWidth="1"/>
    <col min="13" max="13" width="9.453125" style="6" customWidth="1"/>
    <col min="14" max="14" width="8.6328125" style="6" customWidth="1"/>
    <col min="15" max="15" width="7.7265625" style="6" customWidth="1"/>
    <col min="16" max="16" width="6.81640625" style="6" customWidth="1"/>
    <col min="17" max="17" width="12" style="6" customWidth="1"/>
    <col min="18" max="19" width="8.36328125" style="6" customWidth="1"/>
    <col min="20" max="20" width="10.26953125" style="6" customWidth="1"/>
    <col min="21" max="21" width="9.36328125" style="6" customWidth="1"/>
    <col min="22" max="23" width="9.81640625" style="6" customWidth="1"/>
    <col min="24" max="24" width="8.7265625" style="6" customWidth="1"/>
    <col min="25" max="25" width="12.7265625" style="6" customWidth="1"/>
  </cols>
  <sheetData>
    <row r="1" spans="1:15" ht="21" x14ac:dyDescent="0.5">
      <c r="A1" s="16" t="s">
        <v>56</v>
      </c>
    </row>
    <row r="2" spans="1:15" x14ac:dyDescent="0.35">
      <c r="A2" t="s">
        <v>57</v>
      </c>
    </row>
    <row r="3" spans="1:15" x14ac:dyDescent="0.35">
      <c r="A3" t="s">
        <v>58</v>
      </c>
    </row>
    <row r="4" spans="1:15" x14ac:dyDescent="0.35">
      <c r="A4" s="17" t="s">
        <v>59</v>
      </c>
      <c r="F4" s="17" t="s">
        <v>60</v>
      </c>
      <c r="J4" s="63" t="s">
        <v>61</v>
      </c>
      <c r="K4" s="63"/>
      <c r="L4" s="63"/>
    </row>
    <row r="5" spans="1:15" s="6" customFormat="1" ht="22" customHeight="1" x14ac:dyDescent="0.35">
      <c r="A5" s="3" t="s">
        <v>4</v>
      </c>
      <c r="B5" s="18">
        <v>1000</v>
      </c>
      <c r="C5" s="3" t="s">
        <v>5</v>
      </c>
      <c r="D5" s="3" t="s">
        <v>62</v>
      </c>
      <c r="F5" s="3" t="s">
        <v>7</v>
      </c>
      <c r="G5" s="19">
        <f>B12+B13</f>
        <v>0.4</v>
      </c>
      <c r="H5" s="3" t="s">
        <v>31</v>
      </c>
    </row>
    <row r="6" spans="1:15" s="6" customFormat="1" ht="22" customHeight="1" x14ac:dyDescent="0.35">
      <c r="A6" s="3" t="s">
        <v>8</v>
      </c>
      <c r="B6" s="20">
        <v>4.5</v>
      </c>
      <c r="C6" s="3" t="s">
        <v>9</v>
      </c>
      <c r="D6" s="3" t="s">
        <v>63</v>
      </c>
      <c r="F6" s="3" t="s">
        <v>11</v>
      </c>
      <c r="G6" s="19" t="str">
        <f>IF(AND(B11&lt;=0,G5&lt;=0),"No opening",IF(AND(B11&gt;0,G5&gt;0),"Roof + side","Single opening"))</f>
        <v>Roof + side</v>
      </c>
      <c r="H6" s="3" t="s">
        <v>64</v>
      </c>
    </row>
    <row r="7" spans="1:15" s="6" customFormat="1" ht="22" customHeight="1" thickBot="1" x14ac:dyDescent="0.4">
      <c r="A7" s="3" t="s">
        <v>12</v>
      </c>
      <c r="B7" s="20">
        <v>3</v>
      </c>
      <c r="C7" s="3" t="s">
        <v>9</v>
      </c>
      <c r="D7" s="3" t="s">
        <v>65</v>
      </c>
      <c r="F7" s="3" t="s">
        <v>66</v>
      </c>
      <c r="G7" s="19">
        <f>IF(AND(B11&gt;0,G5&gt;0),(SQRT(2)*B11*G5)/((B11+G5)*SQRT(B11^2+G5^2)),"")</f>
        <v>0.4216370213557839</v>
      </c>
      <c r="H7" s="3" t="s">
        <v>64</v>
      </c>
    </row>
    <row r="8" spans="1:15" s="6" customFormat="1" ht="22" customHeight="1" thickBot="1" x14ac:dyDescent="0.4">
      <c r="A8" s="3" t="s">
        <v>15</v>
      </c>
      <c r="B8" s="20">
        <v>5</v>
      </c>
      <c r="C8" s="3" t="s">
        <v>16</v>
      </c>
      <c r="D8" s="3" t="s">
        <v>67</v>
      </c>
      <c r="F8" s="39" t="s">
        <v>68</v>
      </c>
      <c r="G8" s="40">
        <f>IF(G6="No opening",0,IF(G6="Single opening",1800*MAX(B11,G5)*B14*SQRT(2*B19*(B8/B9)*(B6/4)+B15*B10^2),1800*(B11+G5)*B16*SQRT(B10^2+(2*B19*G7^2/B17)*(B8/B9)*(B7/2))))</f>
        <v>690.97655511393066</v>
      </c>
      <c r="H8" s="41" t="s">
        <v>19</v>
      </c>
    </row>
    <row r="9" spans="1:15" s="6" customFormat="1" ht="22" customHeight="1" thickBot="1" x14ac:dyDescent="0.4">
      <c r="A9" s="3" t="s">
        <v>20</v>
      </c>
      <c r="B9" s="20">
        <v>303</v>
      </c>
      <c r="C9" s="3" t="s">
        <v>21</v>
      </c>
      <c r="D9" s="3" t="s">
        <v>69</v>
      </c>
      <c r="F9" s="42" t="s">
        <v>70</v>
      </c>
      <c r="G9" s="43">
        <f>IF(B6&gt;0,G8/B6,0)</f>
        <v>153.55034558087348</v>
      </c>
      <c r="H9" s="44" t="s">
        <v>24</v>
      </c>
      <c r="J9" s="46"/>
      <c r="K9" s="49" t="s">
        <v>99</v>
      </c>
      <c r="L9" s="49"/>
      <c r="M9" s="49"/>
      <c r="N9" s="49"/>
      <c r="O9" s="50" t="s">
        <v>210</v>
      </c>
    </row>
    <row r="10" spans="1:15" s="6" customFormat="1" ht="22" customHeight="1" x14ac:dyDescent="0.45">
      <c r="A10" s="3" t="s">
        <v>25</v>
      </c>
      <c r="B10" s="20">
        <v>3</v>
      </c>
      <c r="C10" s="3" t="s">
        <v>26</v>
      </c>
      <c r="D10" s="3" t="s">
        <v>71</v>
      </c>
      <c r="F10" s="3" t="s">
        <v>72</v>
      </c>
      <c r="G10" s="21">
        <f>IF(G5&gt;0,(B12*X23+B13*X24)/G5,0)</f>
        <v>1.5176776111039481</v>
      </c>
      <c r="H10" s="3" t="s">
        <v>40</v>
      </c>
      <c r="J10" s="51" t="s">
        <v>207</v>
      </c>
      <c r="K10" s="56">
        <v>1</v>
      </c>
      <c r="L10" s="56">
        <v>2</v>
      </c>
      <c r="M10" s="56">
        <v>4</v>
      </c>
      <c r="N10" s="56">
        <v>5</v>
      </c>
      <c r="O10" s="46"/>
    </row>
    <row r="11" spans="1:15" s="6" customFormat="1" ht="22" customHeight="1" x14ac:dyDescent="0.45">
      <c r="A11" s="3" t="s">
        <v>30</v>
      </c>
      <c r="B11" s="20">
        <v>0.2</v>
      </c>
      <c r="C11" s="3" t="s">
        <v>31</v>
      </c>
      <c r="D11" s="3" t="s">
        <v>73</v>
      </c>
      <c r="F11" s="3" t="s">
        <v>74</v>
      </c>
      <c r="G11" s="21">
        <f>IF(G6="No opening",0,IF(G6="Single opening",IF(B11&gt;0,X22,G10),X22+G10))</f>
        <v>3.0353552222078957</v>
      </c>
      <c r="H11" s="3" t="s">
        <v>40</v>
      </c>
      <c r="J11" s="52" t="s">
        <v>208</v>
      </c>
      <c r="K11" s="57">
        <v>1</v>
      </c>
      <c r="L11" s="57">
        <v>2</v>
      </c>
      <c r="M11" s="57">
        <v>4</v>
      </c>
      <c r="N11" s="57">
        <v>5</v>
      </c>
      <c r="O11" s="47"/>
    </row>
    <row r="12" spans="1:15" s="6" customFormat="1" ht="22" customHeight="1" thickBot="1" x14ac:dyDescent="0.5">
      <c r="A12" s="3" t="s">
        <v>34</v>
      </c>
      <c r="B12" s="20">
        <v>0.2</v>
      </c>
      <c r="C12" s="3" t="s">
        <v>31</v>
      </c>
      <c r="D12" s="3" t="s">
        <v>73</v>
      </c>
      <c r="F12" s="3" t="s">
        <v>75</v>
      </c>
      <c r="G12" s="21">
        <f>1/SQRT(1+G11)</f>
        <v>0.4978048398856858</v>
      </c>
      <c r="H12" s="3" t="s">
        <v>40</v>
      </c>
      <c r="J12" s="53" t="s">
        <v>209</v>
      </c>
      <c r="K12" s="58">
        <v>1</v>
      </c>
      <c r="L12" s="58">
        <v>2</v>
      </c>
      <c r="M12" s="58">
        <v>4</v>
      </c>
      <c r="N12" s="58">
        <v>5</v>
      </c>
      <c r="O12" s="48"/>
    </row>
    <row r="13" spans="1:15" s="6" customFormat="1" ht="22" customHeight="1" x14ac:dyDescent="0.45">
      <c r="A13" s="3" t="s">
        <v>37</v>
      </c>
      <c r="B13" s="20">
        <v>0.2</v>
      </c>
      <c r="C13" s="3" t="s">
        <v>31</v>
      </c>
      <c r="D13" s="3" t="s">
        <v>73</v>
      </c>
      <c r="F13" s="39" t="s">
        <v>76</v>
      </c>
      <c r="G13" s="40">
        <f>G8*G12</f>
        <v>343.971473383253</v>
      </c>
      <c r="H13" s="41" t="s">
        <v>19</v>
      </c>
      <c r="J13" s="54" t="s">
        <v>211</v>
      </c>
      <c r="K13" s="59">
        <v>343.971473383253</v>
      </c>
      <c r="L13" s="59">
        <v>521.01507881707391</v>
      </c>
      <c r="M13" s="59">
        <v>633.49444425002082</v>
      </c>
      <c r="N13" s="59">
        <v>652.49965249405477</v>
      </c>
      <c r="O13" s="60">
        <v>690.97655511393066</v>
      </c>
    </row>
    <row r="14" spans="1:15" s="6" customFormat="1" ht="22" customHeight="1" thickBot="1" x14ac:dyDescent="0.5">
      <c r="A14" s="3" t="s">
        <v>77</v>
      </c>
      <c r="B14" s="20">
        <v>0.64</v>
      </c>
      <c r="C14" s="3" t="s">
        <v>40</v>
      </c>
      <c r="D14" s="3" t="s">
        <v>78</v>
      </c>
      <c r="F14" s="42" t="s">
        <v>79</v>
      </c>
      <c r="G14" s="43">
        <f>IF(B6&gt;0,G13/B6,0)</f>
        <v>76.438105196278443</v>
      </c>
      <c r="H14" s="44" t="s">
        <v>24</v>
      </c>
      <c r="J14" s="55" t="s">
        <v>212</v>
      </c>
      <c r="K14" s="61">
        <v>76.438105196278443</v>
      </c>
      <c r="L14" s="61">
        <v>115.78112862601643</v>
      </c>
      <c r="M14" s="61">
        <v>140.7765431666713</v>
      </c>
      <c r="N14" s="61">
        <v>144.99992277645663</v>
      </c>
      <c r="O14" s="62">
        <v>153.55034558087348</v>
      </c>
    </row>
    <row r="15" spans="1:15" s="6" customFormat="1" ht="22" customHeight="1" x14ac:dyDescent="0.35">
      <c r="A15" s="3" t="s">
        <v>80</v>
      </c>
      <c r="B15" s="20">
        <v>0.1</v>
      </c>
      <c r="C15" s="3" t="s">
        <v>40</v>
      </c>
      <c r="D15" s="3" t="s">
        <v>81</v>
      </c>
      <c r="F15" s="3" t="s">
        <v>82</v>
      </c>
      <c r="G15" s="22">
        <f>IF(G8&gt;0,1-G13/G8,0)</f>
        <v>0.5021951601143142</v>
      </c>
      <c r="H15" s="3" t="s">
        <v>83</v>
      </c>
    </row>
    <row r="16" spans="1:15" s="6" customFormat="1" ht="22" customHeight="1" x14ac:dyDescent="0.35">
      <c r="A16" s="3" t="s">
        <v>46</v>
      </c>
      <c r="B16" s="20">
        <v>0.2</v>
      </c>
      <c r="C16" s="3" t="s">
        <v>40</v>
      </c>
      <c r="D16" s="3" t="s">
        <v>84</v>
      </c>
      <c r="F16" s="3" t="s">
        <v>85</v>
      </c>
      <c r="G16" s="34">
        <f>IF(G6="No opening",0,IF(G6="Single opening",IF(B11&gt;0,Z22,IF(G5&gt;0,(B12*Z23+B13*Z24)/G5,0)),Z22+IF(G5&gt;0,(B12*Z23+B13*Z24)/G5,0)))</f>
        <v>2.5978893606457541E-4</v>
      </c>
      <c r="H16" s="3" t="s">
        <v>86</v>
      </c>
    </row>
    <row r="17" spans="1:26" s="6" customFormat="1" ht="22" customHeight="1" x14ac:dyDescent="0.35">
      <c r="A17" s="3" t="s">
        <v>49</v>
      </c>
      <c r="B17" s="20">
        <v>7.0000000000000007E-2</v>
      </c>
      <c r="C17" s="3" t="s">
        <v>40</v>
      </c>
      <c r="D17" s="3" t="s">
        <v>81</v>
      </c>
      <c r="F17" s="3" t="s">
        <v>87</v>
      </c>
      <c r="G17" s="35">
        <f>B5*G13</f>
        <v>343971.47338325297</v>
      </c>
      <c r="H17" s="3" t="s">
        <v>29</v>
      </c>
    </row>
    <row r="18" spans="1:26" s="6" customFormat="1" ht="22" customHeight="1" x14ac:dyDescent="0.35">
      <c r="A18" s="3" t="s">
        <v>88</v>
      </c>
      <c r="B18" s="20">
        <v>1.2</v>
      </c>
      <c r="C18" s="3" t="s">
        <v>89</v>
      </c>
      <c r="D18" s="3" t="s">
        <v>90</v>
      </c>
      <c r="G18" s="23"/>
    </row>
    <row r="19" spans="1:26" s="6" customFormat="1" ht="22" customHeight="1" x14ac:dyDescent="0.35">
      <c r="A19" s="3" t="s">
        <v>52</v>
      </c>
      <c r="B19" s="20">
        <v>9.81</v>
      </c>
      <c r="C19" s="3" t="s">
        <v>53</v>
      </c>
      <c r="D19" s="3" t="s">
        <v>91</v>
      </c>
    </row>
    <row r="21" spans="1:26" s="6" customFormat="1" ht="34" customHeight="1" x14ac:dyDescent="0.35">
      <c r="J21" s="64" t="s">
        <v>92</v>
      </c>
      <c r="K21" s="64" t="s">
        <v>93</v>
      </c>
      <c r="L21" s="64" t="s">
        <v>94</v>
      </c>
      <c r="M21" s="64" t="s">
        <v>95</v>
      </c>
      <c r="N21" s="64" t="s">
        <v>96</v>
      </c>
      <c r="O21" s="64" t="s">
        <v>97</v>
      </c>
      <c r="P21" s="64" t="s">
        <v>98</v>
      </c>
      <c r="Q21" s="64" t="s">
        <v>99</v>
      </c>
      <c r="R21" s="64" t="s">
        <v>100</v>
      </c>
      <c r="S21" s="64" t="s">
        <v>101</v>
      </c>
      <c r="T21" s="64" t="s">
        <v>102</v>
      </c>
      <c r="U21" s="64" t="s">
        <v>103</v>
      </c>
      <c r="V21" s="64" t="s">
        <v>104</v>
      </c>
      <c r="W21" s="64" t="s">
        <v>105</v>
      </c>
      <c r="X21" s="64" t="s">
        <v>106</v>
      </c>
      <c r="Y21" s="64" t="s">
        <v>107</v>
      </c>
      <c r="Z21" s="64" t="s">
        <v>108</v>
      </c>
    </row>
    <row r="22" spans="1:26" x14ac:dyDescent="0.35">
      <c r="J22" s="24" t="s">
        <v>109</v>
      </c>
      <c r="K22" s="25">
        <f>B11</f>
        <v>0.2</v>
      </c>
      <c r="L22" s="25" t="s">
        <v>110</v>
      </c>
      <c r="M22" s="25">
        <v>40</v>
      </c>
      <c r="N22" s="25">
        <v>25</v>
      </c>
      <c r="O22" s="26">
        <v>0.16</v>
      </c>
      <c r="P22" s="26">
        <v>0.16</v>
      </c>
      <c r="Q22" s="26">
        <v>1</v>
      </c>
      <c r="R22" s="27">
        <f t="shared" ref="R22:S24" si="0">IF(M22&gt;0,25.4/M22,"")</f>
        <v>0.63500000000000001</v>
      </c>
      <c r="S22" s="27">
        <f t="shared" si="0"/>
        <v>1.016</v>
      </c>
      <c r="T22" s="27">
        <f t="shared" ref="T22:U24" si="1">IF(AND(R22&gt;0,O22&lt;&gt;""),MAX(R22-O22,0),"")</f>
        <v>0.47499999999999998</v>
      </c>
      <c r="U22" s="27">
        <f t="shared" si="1"/>
        <v>0.85599999999999998</v>
      </c>
      <c r="V22" s="27">
        <f>IF(AND(R22&gt;0,S22&gt;0),(T22*U22)/(R22*S22),"")</f>
        <v>0.63023126046252076</v>
      </c>
      <c r="W22" s="27">
        <f>IF(V22&gt;0,(1-V22^2)/(V22^2),"")</f>
        <v>1.5176776111039478</v>
      </c>
      <c r="X22" s="27">
        <f>IF(AND(W22&lt;&gt;"",Q22&gt;0),W22/(Q22^2),"")</f>
        <v>1.5176776111039478</v>
      </c>
      <c r="Y22" s="27">
        <f>IF(AND(K22&gt;0,Q22&gt;0,$G$13&gt;0),$G$13/3600/(K22*Q22),"")</f>
        <v>0.47773815747674031</v>
      </c>
      <c r="Z22" s="28">
        <f>IF(AND(W22&lt;&gt;"",Y22&lt;&gt;""),0.5*$B$18*W22*Y22^2/1000,"")</f>
        <v>2.0783114885166031E-4</v>
      </c>
    </row>
    <row r="23" spans="1:26" x14ac:dyDescent="0.35">
      <c r="J23" s="24" t="s">
        <v>111</v>
      </c>
      <c r="K23" s="25">
        <f>B12</f>
        <v>0.2</v>
      </c>
      <c r="L23" s="25" t="s">
        <v>110</v>
      </c>
      <c r="M23" s="25">
        <v>40</v>
      </c>
      <c r="N23" s="25">
        <v>25</v>
      </c>
      <c r="O23" s="26">
        <v>0.16</v>
      </c>
      <c r="P23" s="26">
        <v>0.16</v>
      </c>
      <c r="Q23" s="26">
        <v>1</v>
      </c>
      <c r="R23" s="27">
        <f t="shared" si="0"/>
        <v>0.63500000000000001</v>
      </c>
      <c r="S23" s="27">
        <f t="shared" si="0"/>
        <v>1.016</v>
      </c>
      <c r="T23" s="27">
        <f t="shared" si="1"/>
        <v>0.47499999999999998</v>
      </c>
      <c r="U23" s="27">
        <f t="shared" si="1"/>
        <v>0.85599999999999998</v>
      </c>
      <c r="V23" s="27">
        <f>IF(AND(R23&gt;0,S23&gt;0),(T23*U23)/(R23*S23),"")</f>
        <v>0.63023126046252076</v>
      </c>
      <c r="W23" s="27">
        <f>IF(V23&gt;0,(1-V23^2)/(V23^2),"")</f>
        <v>1.5176776111039478</v>
      </c>
      <c r="X23" s="27">
        <f>IF(AND(W23&lt;&gt;"",Q23&gt;0),W23/(Q23^2),"")</f>
        <v>1.5176776111039478</v>
      </c>
      <c r="Y23" s="27">
        <f>IF(AND($G$5&gt;0,Q23&gt;0,$G$13&gt;0),$G$13/3600/($G$5*Q23),"")</f>
        <v>0.23886907873837016</v>
      </c>
      <c r="Z23" s="28">
        <f>IF(AND(W23&lt;&gt;"",Y23&lt;&gt;""),0.5*$B$18*W23*Y23^2/1000,"")</f>
        <v>5.1957787212915077E-5</v>
      </c>
    </row>
    <row r="24" spans="1:26" x14ac:dyDescent="0.35">
      <c r="J24" s="24" t="s">
        <v>112</v>
      </c>
      <c r="K24" s="25">
        <f>B13</f>
        <v>0.2</v>
      </c>
      <c r="L24" s="25" t="s">
        <v>110</v>
      </c>
      <c r="M24" s="25">
        <v>40</v>
      </c>
      <c r="N24" s="25">
        <v>25</v>
      </c>
      <c r="O24" s="26">
        <v>0.16</v>
      </c>
      <c r="P24" s="26">
        <v>0.16</v>
      </c>
      <c r="Q24" s="26">
        <v>1</v>
      </c>
      <c r="R24" s="27">
        <f t="shared" si="0"/>
        <v>0.63500000000000001</v>
      </c>
      <c r="S24" s="27">
        <f t="shared" si="0"/>
        <v>1.016</v>
      </c>
      <c r="T24" s="27">
        <f t="shared" si="1"/>
        <v>0.47499999999999998</v>
      </c>
      <c r="U24" s="27">
        <f t="shared" si="1"/>
        <v>0.85599999999999998</v>
      </c>
      <c r="V24" s="27">
        <f>IF(AND(R24&gt;0,S24&gt;0),(T24*U24)/(R24*S24),"")</f>
        <v>0.63023126046252076</v>
      </c>
      <c r="W24" s="27">
        <f>IF(V24&gt;0,(1-V24^2)/(V24^2),"")</f>
        <v>1.5176776111039478</v>
      </c>
      <c r="X24" s="27">
        <f>IF(AND(W24&lt;&gt;"",Q24&gt;0),W24/(Q24^2),"")</f>
        <v>1.5176776111039478</v>
      </c>
      <c r="Y24" s="27">
        <f>IF(AND($G$5&gt;0,Q24&gt;0,$G$13&gt;0),$G$13/3600/($G$5*Q24),"")</f>
        <v>0.23886907873837016</v>
      </c>
      <c r="Z24" s="28">
        <f>IF(AND(W24&lt;&gt;"",Y24&lt;&gt;""),0.5*$B$18*W24*Y24^2/1000,"")</f>
        <v>5.1957787212915077E-5</v>
      </c>
    </row>
    <row r="26" spans="1:26" x14ac:dyDescent="0.35">
      <c r="J26" s="45" t="s">
        <v>113</v>
      </c>
      <c r="K26" s="45"/>
      <c r="L26" s="45"/>
      <c r="M26" s="45"/>
      <c r="N26" s="45"/>
      <c r="O26" s="45"/>
      <c r="P26" s="45"/>
    </row>
    <row r="27" spans="1:26" x14ac:dyDescent="0.35">
      <c r="J27" s="45" t="s">
        <v>114</v>
      </c>
      <c r="K27" s="45"/>
      <c r="L27" s="45"/>
      <c r="M27" s="45"/>
      <c r="N27" s="45"/>
      <c r="O27" s="45"/>
      <c r="P27" s="45"/>
    </row>
    <row r="28" spans="1:26" x14ac:dyDescent="0.35">
      <c r="J28" s="45" t="s">
        <v>206</v>
      </c>
      <c r="K28" s="45"/>
      <c r="L28" s="45"/>
      <c r="M28" s="45"/>
      <c r="N28" s="45"/>
      <c r="O28" s="45"/>
      <c r="P28" s="45"/>
    </row>
    <row r="29" spans="1:26" x14ac:dyDescent="0.35">
      <c r="J29" s="45" t="s">
        <v>115</v>
      </c>
      <c r="K29" s="45"/>
      <c r="L29" s="45"/>
      <c r="M29" s="45"/>
      <c r="N29" s="45"/>
      <c r="O29" s="45"/>
      <c r="P29" s="45"/>
    </row>
    <row r="30" spans="1:26" x14ac:dyDescent="0.35">
      <c r="J30" s="45" t="s">
        <v>116</v>
      </c>
      <c r="K30" s="45"/>
      <c r="L30" s="45"/>
      <c r="M30" s="45"/>
      <c r="N30" s="45"/>
      <c r="O30" s="45"/>
      <c r="P30" s="45"/>
    </row>
    <row r="31" spans="1:26" x14ac:dyDescent="0.35">
      <c r="J31" s="45" t="s">
        <v>117</v>
      </c>
      <c r="K31" s="45"/>
      <c r="L31" s="45"/>
      <c r="M31" s="45"/>
      <c r="N31" s="45"/>
      <c r="O31" s="45"/>
      <c r="P31" s="45"/>
    </row>
    <row r="32" spans="1:26" x14ac:dyDescent="0.35">
      <c r="J32" s="45" t="s">
        <v>118</v>
      </c>
      <c r="K32" s="45"/>
      <c r="L32" s="45"/>
      <c r="M32" s="45"/>
      <c r="N32" s="45"/>
      <c r="O32" s="45"/>
      <c r="P32" s="45"/>
    </row>
  </sheetData>
  <mergeCells count="9">
    <mergeCell ref="J4:L4"/>
    <mergeCell ref="J29:P29"/>
    <mergeCell ref="J30:P30"/>
    <mergeCell ref="J31:P31"/>
    <mergeCell ref="J32:P32"/>
    <mergeCell ref="K9:N9"/>
    <mergeCell ref="J27:P27"/>
    <mergeCell ref="J26:P26"/>
    <mergeCell ref="J28:P28"/>
  </mergeCells>
  <phoneticPr fontId="14" type="noConversion"/>
  <pageMargins left="0.7" right="0.7" top="0.75" bottom="0.75" header="0.3" footer="0.3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100-000000000000}">
          <x14:formula1>
            <xm:f>Insect_Net_Library!$A$5:$A$9</xm:f>
          </x14:formula1>
          <xm:sqref>L22:L24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7"/>
  <sheetViews>
    <sheetView showGridLines="0" workbookViewId="0">
      <selection activeCell="A6" sqref="A6"/>
    </sheetView>
  </sheetViews>
  <sheetFormatPr defaultRowHeight="14.5" x14ac:dyDescent="0.35"/>
  <cols>
    <col min="1" max="1" width="14.7265625" style="6" customWidth="1"/>
    <col min="2" max="2" width="11.7265625" style="6" customWidth="1"/>
    <col min="3" max="5" width="9.7265625" style="6" customWidth="1"/>
    <col min="6" max="6" width="10.7265625" style="6" customWidth="1"/>
    <col min="7" max="7" width="9.7265625" style="6" customWidth="1"/>
    <col min="8" max="10" width="10.7265625" style="6" customWidth="1"/>
    <col min="11" max="12" width="9.7265625" style="6" customWidth="1"/>
    <col min="13" max="13" width="11.7265625" style="6" customWidth="1"/>
    <col min="14" max="14" width="9.7265625" style="6" customWidth="1"/>
    <col min="15" max="15" width="10.7265625" style="6" customWidth="1"/>
    <col min="16" max="16" width="15.7265625" style="6" customWidth="1"/>
    <col min="17" max="17" width="10.7265625" style="6" customWidth="1"/>
    <col min="18" max="18" width="12.7265625" style="6" customWidth="1"/>
    <col min="19" max="19" width="10.7265625" style="6" customWidth="1"/>
    <col min="20" max="20" width="12.7265625" style="6" customWidth="1"/>
  </cols>
  <sheetData>
    <row r="1" spans="1:20" ht="21" x14ac:dyDescent="0.35">
      <c r="A1" s="38" t="s">
        <v>119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</row>
    <row r="2" spans="1:20" x14ac:dyDescent="0.35">
      <c r="A2" s="36" t="s">
        <v>120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</row>
    <row r="4" spans="1:20" x14ac:dyDescent="0.35">
      <c r="A4" s="8" t="s">
        <v>121</v>
      </c>
      <c r="B4" s="8" t="s">
        <v>122</v>
      </c>
      <c r="C4" s="8" t="s">
        <v>123</v>
      </c>
      <c r="D4" s="8" t="s">
        <v>124</v>
      </c>
      <c r="E4" s="8" t="s">
        <v>125</v>
      </c>
      <c r="F4" s="8" t="s">
        <v>126</v>
      </c>
      <c r="G4" s="8" t="s">
        <v>127</v>
      </c>
      <c r="H4" s="8" t="s">
        <v>109</v>
      </c>
      <c r="I4" s="8" t="s">
        <v>128</v>
      </c>
      <c r="J4" s="8" t="s">
        <v>129</v>
      </c>
      <c r="K4" s="8" t="s">
        <v>130</v>
      </c>
      <c r="L4" s="8" t="s">
        <v>131</v>
      </c>
      <c r="M4" s="8" t="s">
        <v>132</v>
      </c>
      <c r="N4" s="8" t="s">
        <v>133</v>
      </c>
      <c r="O4" s="8" t="s">
        <v>134</v>
      </c>
      <c r="P4" s="8" t="s">
        <v>135</v>
      </c>
      <c r="Q4" s="8" t="s">
        <v>136</v>
      </c>
      <c r="R4" s="8" t="s">
        <v>137</v>
      </c>
      <c r="S4" s="8" t="s">
        <v>23</v>
      </c>
      <c r="T4" s="8" t="s">
        <v>138</v>
      </c>
    </row>
    <row r="5" spans="1:20" x14ac:dyDescent="0.35">
      <c r="A5" s="9" t="s">
        <v>139</v>
      </c>
      <c r="B5" s="10">
        <v>1000</v>
      </c>
      <c r="C5" s="10">
        <v>4.5</v>
      </c>
      <c r="D5" s="10">
        <v>3</v>
      </c>
      <c r="E5" s="10">
        <v>5</v>
      </c>
      <c r="F5" s="10">
        <v>303</v>
      </c>
      <c r="G5" s="10">
        <v>3</v>
      </c>
      <c r="H5" s="14">
        <v>0.2</v>
      </c>
      <c r="I5" s="14">
        <v>0.2</v>
      </c>
      <c r="J5" s="14">
        <v>0.2</v>
      </c>
      <c r="K5" s="10">
        <v>0.64</v>
      </c>
      <c r="L5" s="10">
        <v>0.1</v>
      </c>
      <c r="M5" s="10">
        <v>0.2</v>
      </c>
      <c r="N5" s="10">
        <v>7.0000000000000007E-2</v>
      </c>
      <c r="O5" s="11">
        <f t="shared" ref="O5:O14" si="0">I5+J5</f>
        <v>0.4</v>
      </c>
      <c r="P5" t="str">
        <f t="shared" ref="P5:P14" si="1">IF(AND(H5&lt;=0,O5&lt;=0),"No opening",IF(AND(H5&gt;0,O5&gt;0),"Roof + side","Single opening"))</f>
        <v>Roof + side</v>
      </c>
      <c r="Q5" s="12">
        <f t="shared" ref="Q5:Q14" si="2">IF(AND(H5&gt;0,O5&gt;0),(SQRT(2)*H5*O5)/((H5+O5)*SQRT(H5^2+O5^2)),"")</f>
        <v>0.4216370213557839</v>
      </c>
      <c r="R5" s="11">
        <f t="shared" ref="R5:R14" si="3">IF(P5="No opening",0,IF(P5="Single opening",1800*MAX(H5,O5)*K5*SQRT(2*Gravity*(E5/F5)*(C5/4)+L5*G5^2),1800*(H5+O5)*M5*SQRT(G5^2+(2*Gravity*Q5^2/N5)*(E5/F5)*(D5/2))))</f>
        <v>690.97655511393066</v>
      </c>
      <c r="S5" s="11">
        <f t="shared" ref="S5:S14" si="4">IF(C5&gt;0,R5/C5,0)</f>
        <v>153.55034558087348</v>
      </c>
      <c r="T5" s="11">
        <f t="shared" ref="T5:T14" si="5">B5*R5</f>
        <v>690976.5551139306</v>
      </c>
    </row>
    <row r="6" spans="1:20" x14ac:dyDescent="0.35">
      <c r="A6" s="9" t="s">
        <v>140</v>
      </c>
      <c r="B6" s="10"/>
      <c r="C6" s="10"/>
      <c r="D6" s="10"/>
      <c r="E6" s="10"/>
      <c r="F6" s="10"/>
      <c r="G6" s="10"/>
      <c r="H6" s="14"/>
      <c r="I6" s="14"/>
      <c r="J6" s="14"/>
      <c r="K6" s="10"/>
      <c r="L6" s="10"/>
      <c r="M6" s="10"/>
      <c r="N6" s="10"/>
      <c r="O6" s="11">
        <f t="shared" si="0"/>
        <v>0</v>
      </c>
      <c r="P6" t="str">
        <f t="shared" si="1"/>
        <v>No opening</v>
      </c>
      <c r="Q6" s="12" t="str">
        <f t="shared" si="2"/>
        <v/>
      </c>
      <c r="R6" s="11">
        <f t="shared" si="3"/>
        <v>0</v>
      </c>
      <c r="S6" s="11">
        <f t="shared" si="4"/>
        <v>0</v>
      </c>
      <c r="T6" s="11">
        <f t="shared" si="5"/>
        <v>0</v>
      </c>
    </row>
    <row r="7" spans="1:20" x14ac:dyDescent="0.35">
      <c r="A7" s="9" t="s">
        <v>141</v>
      </c>
      <c r="B7" s="10"/>
      <c r="C7" s="10"/>
      <c r="D7" s="10"/>
      <c r="E7" s="10"/>
      <c r="F7" s="10"/>
      <c r="G7" s="10"/>
      <c r="H7" s="14"/>
      <c r="I7" s="14"/>
      <c r="J7" s="14"/>
      <c r="K7" s="10"/>
      <c r="L7" s="10"/>
      <c r="M7" s="10"/>
      <c r="N7" s="10"/>
      <c r="O7" s="11">
        <f t="shared" si="0"/>
        <v>0</v>
      </c>
      <c r="P7" t="str">
        <f t="shared" si="1"/>
        <v>No opening</v>
      </c>
      <c r="Q7" s="12" t="str">
        <f t="shared" si="2"/>
        <v/>
      </c>
      <c r="R7" s="11">
        <f t="shared" si="3"/>
        <v>0</v>
      </c>
      <c r="S7" s="11">
        <f t="shared" si="4"/>
        <v>0</v>
      </c>
      <c r="T7" s="11">
        <f t="shared" si="5"/>
        <v>0</v>
      </c>
    </row>
    <row r="8" spans="1:20" x14ac:dyDescent="0.35">
      <c r="A8" s="9" t="s">
        <v>142</v>
      </c>
      <c r="B8" s="10"/>
      <c r="C8" s="10"/>
      <c r="D8" s="10"/>
      <c r="E8" s="10"/>
      <c r="F8" s="10"/>
      <c r="G8" s="10"/>
      <c r="H8" s="14"/>
      <c r="I8" s="14"/>
      <c r="J8" s="14"/>
      <c r="K8" s="10"/>
      <c r="L8" s="10"/>
      <c r="M8" s="10"/>
      <c r="N8" s="10"/>
      <c r="O8" s="11">
        <f t="shared" si="0"/>
        <v>0</v>
      </c>
      <c r="P8" t="str">
        <f t="shared" si="1"/>
        <v>No opening</v>
      </c>
      <c r="Q8" s="12" t="str">
        <f t="shared" si="2"/>
        <v/>
      </c>
      <c r="R8" s="11">
        <f t="shared" si="3"/>
        <v>0</v>
      </c>
      <c r="S8" s="11">
        <f t="shared" si="4"/>
        <v>0</v>
      </c>
      <c r="T8" s="11">
        <f t="shared" si="5"/>
        <v>0</v>
      </c>
    </row>
    <row r="9" spans="1:20" x14ac:dyDescent="0.35">
      <c r="A9" s="9" t="s">
        <v>143</v>
      </c>
      <c r="B9" s="10"/>
      <c r="C9" s="10"/>
      <c r="D9" s="10"/>
      <c r="E9" s="10"/>
      <c r="F9" s="10"/>
      <c r="G9" s="10"/>
      <c r="H9" s="14"/>
      <c r="I9" s="14"/>
      <c r="J9" s="14"/>
      <c r="K9" s="10"/>
      <c r="L9" s="10"/>
      <c r="M9" s="10"/>
      <c r="N9" s="10"/>
      <c r="O9" s="11">
        <f t="shared" si="0"/>
        <v>0</v>
      </c>
      <c r="P9" t="str">
        <f t="shared" si="1"/>
        <v>No opening</v>
      </c>
      <c r="Q9" s="12" t="str">
        <f t="shared" si="2"/>
        <v/>
      </c>
      <c r="R9" s="11">
        <f t="shared" si="3"/>
        <v>0</v>
      </c>
      <c r="S9" s="11">
        <f t="shared" si="4"/>
        <v>0</v>
      </c>
      <c r="T9" s="11">
        <f t="shared" si="5"/>
        <v>0</v>
      </c>
    </row>
    <row r="10" spans="1:20" x14ac:dyDescent="0.35">
      <c r="A10" s="9" t="s">
        <v>144</v>
      </c>
      <c r="B10" s="10"/>
      <c r="C10" s="10"/>
      <c r="D10" s="10"/>
      <c r="E10" s="10"/>
      <c r="F10" s="10"/>
      <c r="G10" s="10"/>
      <c r="H10" s="14"/>
      <c r="I10" s="14"/>
      <c r="J10" s="14"/>
      <c r="K10" s="10"/>
      <c r="L10" s="10"/>
      <c r="M10" s="10"/>
      <c r="N10" s="10"/>
      <c r="O10" s="11">
        <f t="shared" si="0"/>
        <v>0</v>
      </c>
      <c r="P10" t="str">
        <f t="shared" si="1"/>
        <v>No opening</v>
      </c>
      <c r="Q10" s="12" t="str">
        <f t="shared" si="2"/>
        <v/>
      </c>
      <c r="R10" s="11">
        <f t="shared" si="3"/>
        <v>0</v>
      </c>
      <c r="S10" s="11">
        <f t="shared" si="4"/>
        <v>0</v>
      </c>
      <c r="T10" s="11">
        <f t="shared" si="5"/>
        <v>0</v>
      </c>
    </row>
    <row r="11" spans="1:20" x14ac:dyDescent="0.35">
      <c r="A11" s="9" t="s">
        <v>145</v>
      </c>
      <c r="B11" s="10"/>
      <c r="C11" s="10"/>
      <c r="D11" s="10"/>
      <c r="E11" s="10"/>
      <c r="F11" s="10"/>
      <c r="G11" s="10"/>
      <c r="H11" s="14"/>
      <c r="I11" s="14"/>
      <c r="J11" s="14"/>
      <c r="K11" s="10"/>
      <c r="L11" s="10"/>
      <c r="M11" s="10"/>
      <c r="N11" s="10"/>
      <c r="O11" s="11">
        <f t="shared" si="0"/>
        <v>0</v>
      </c>
      <c r="P11" t="str">
        <f t="shared" si="1"/>
        <v>No opening</v>
      </c>
      <c r="Q11" s="12" t="str">
        <f t="shared" si="2"/>
        <v/>
      </c>
      <c r="R11" s="11">
        <f t="shared" si="3"/>
        <v>0</v>
      </c>
      <c r="S11" s="11">
        <f t="shared" si="4"/>
        <v>0</v>
      </c>
      <c r="T11" s="11">
        <f t="shared" si="5"/>
        <v>0</v>
      </c>
    </row>
    <row r="12" spans="1:20" x14ac:dyDescent="0.35">
      <c r="A12" s="9" t="s">
        <v>146</v>
      </c>
      <c r="B12" s="10"/>
      <c r="C12" s="10"/>
      <c r="D12" s="10"/>
      <c r="E12" s="10"/>
      <c r="F12" s="10"/>
      <c r="G12" s="10"/>
      <c r="H12" s="14"/>
      <c r="I12" s="14"/>
      <c r="J12" s="14"/>
      <c r="K12" s="10"/>
      <c r="L12" s="10"/>
      <c r="M12" s="10"/>
      <c r="N12" s="10"/>
      <c r="O12" s="11">
        <f t="shared" si="0"/>
        <v>0</v>
      </c>
      <c r="P12" t="str">
        <f t="shared" si="1"/>
        <v>No opening</v>
      </c>
      <c r="Q12" s="12" t="str">
        <f t="shared" si="2"/>
        <v/>
      </c>
      <c r="R12" s="11">
        <f t="shared" si="3"/>
        <v>0</v>
      </c>
      <c r="S12" s="11">
        <f t="shared" si="4"/>
        <v>0</v>
      </c>
      <c r="T12" s="11">
        <f t="shared" si="5"/>
        <v>0</v>
      </c>
    </row>
    <row r="13" spans="1:20" x14ac:dyDescent="0.35">
      <c r="A13" s="9" t="s">
        <v>147</v>
      </c>
      <c r="B13" s="10"/>
      <c r="C13" s="10"/>
      <c r="D13" s="10"/>
      <c r="E13" s="10"/>
      <c r="F13" s="10"/>
      <c r="G13" s="10"/>
      <c r="H13" s="14"/>
      <c r="I13" s="14"/>
      <c r="J13" s="14"/>
      <c r="K13" s="10"/>
      <c r="L13" s="10"/>
      <c r="M13" s="10"/>
      <c r="N13" s="10"/>
      <c r="O13" s="11">
        <f t="shared" si="0"/>
        <v>0</v>
      </c>
      <c r="P13" t="str">
        <f t="shared" si="1"/>
        <v>No opening</v>
      </c>
      <c r="Q13" s="12" t="str">
        <f t="shared" si="2"/>
        <v/>
      </c>
      <c r="R13" s="11">
        <f t="shared" si="3"/>
        <v>0</v>
      </c>
      <c r="S13" s="11">
        <f t="shared" si="4"/>
        <v>0</v>
      </c>
      <c r="T13" s="11">
        <f t="shared" si="5"/>
        <v>0</v>
      </c>
    </row>
    <row r="14" spans="1:20" x14ac:dyDescent="0.35">
      <c r="A14" s="9" t="s">
        <v>148</v>
      </c>
      <c r="B14" s="10"/>
      <c r="C14" s="10"/>
      <c r="D14" s="10"/>
      <c r="E14" s="10"/>
      <c r="F14" s="10"/>
      <c r="G14" s="10"/>
      <c r="H14" s="14"/>
      <c r="I14" s="14"/>
      <c r="J14" s="14"/>
      <c r="K14" s="10"/>
      <c r="L14" s="10"/>
      <c r="M14" s="10"/>
      <c r="N14" s="10"/>
      <c r="O14" s="11">
        <f t="shared" si="0"/>
        <v>0</v>
      </c>
      <c r="P14" t="str">
        <f t="shared" si="1"/>
        <v>No opening</v>
      </c>
      <c r="Q14" s="12" t="str">
        <f t="shared" si="2"/>
        <v/>
      </c>
      <c r="R14" s="11">
        <f t="shared" si="3"/>
        <v>0</v>
      </c>
      <c r="S14" s="11">
        <f t="shared" si="4"/>
        <v>0</v>
      </c>
      <c r="T14" s="11">
        <f t="shared" si="5"/>
        <v>0</v>
      </c>
    </row>
    <row r="16" spans="1:20" x14ac:dyDescent="0.35">
      <c r="A16" s="2" t="s">
        <v>149</v>
      </c>
    </row>
    <row r="17" spans="1:20" x14ac:dyDescent="0.35">
      <c r="A17" s="36" t="s">
        <v>150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</row>
  </sheetData>
  <mergeCells count="3">
    <mergeCell ref="A1:T1"/>
    <mergeCell ref="A2:T2"/>
    <mergeCell ref="A17:T17"/>
  </mergeCells>
  <phoneticPr fontId="14" type="noConversion"/>
  <dataValidations count="2">
    <dataValidation type="decimal" operator="greaterThanOrEqual" allowBlank="1" showInputMessage="1" showErrorMessage="1" error="請輸入非負數。" sqref="B5:N14" xr:uid="{00000000-0002-0000-0200-000000000000}">
      <formula1>0</formula1>
    </dataValidation>
    <dataValidation type="decimal" allowBlank="1" showInputMessage="1" showErrorMessage="1" error="開口比請輸入 0 到 1。" sqref="H5:J14" xr:uid="{00000000-0002-0000-0200-000001000000}">
      <formula1>0</formula1>
      <formula2>1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9"/>
  <sheetViews>
    <sheetView showGridLines="0" workbookViewId="0">
      <selection sqref="A1:B1"/>
    </sheetView>
  </sheetViews>
  <sheetFormatPr defaultRowHeight="14.5" x14ac:dyDescent="0.35"/>
  <cols>
    <col min="1" max="1" width="24.7265625" style="6" customWidth="1"/>
    <col min="2" max="2" width="90.7265625" style="6" customWidth="1"/>
  </cols>
  <sheetData>
    <row r="1" spans="1:2" ht="21" x14ac:dyDescent="0.35">
      <c r="A1" s="38" t="s">
        <v>151</v>
      </c>
      <c r="B1" s="37"/>
    </row>
    <row r="3" spans="1:2" x14ac:dyDescent="0.35">
      <c r="A3" s="3" t="s">
        <v>152</v>
      </c>
      <c r="B3" s="7" t="s">
        <v>153</v>
      </c>
    </row>
    <row r="4" spans="1:2" ht="29" x14ac:dyDescent="0.35">
      <c r="A4" s="3" t="s">
        <v>154</v>
      </c>
      <c r="B4" s="7" t="s">
        <v>155</v>
      </c>
    </row>
    <row r="5" spans="1:2" x14ac:dyDescent="0.35">
      <c r="A5" s="3" t="s">
        <v>23</v>
      </c>
      <c r="B5" s="7" t="s">
        <v>156</v>
      </c>
    </row>
    <row r="6" spans="1:2" x14ac:dyDescent="0.35">
      <c r="A6" s="3" t="s">
        <v>157</v>
      </c>
      <c r="B6" s="7" t="s">
        <v>158</v>
      </c>
    </row>
    <row r="7" spans="1:2" x14ac:dyDescent="0.35">
      <c r="A7" s="3" t="s">
        <v>140</v>
      </c>
      <c r="B7" s="7" t="s">
        <v>159</v>
      </c>
    </row>
    <row r="8" spans="1:2" x14ac:dyDescent="0.35">
      <c r="A8" s="3" t="s">
        <v>160</v>
      </c>
      <c r="B8" s="7" t="s">
        <v>161</v>
      </c>
    </row>
    <row r="9" spans="1:2" x14ac:dyDescent="0.35">
      <c r="A9" s="3" t="s">
        <v>162</v>
      </c>
      <c r="B9" s="7" t="s">
        <v>163</v>
      </c>
    </row>
    <row r="10" spans="1:2" x14ac:dyDescent="0.35">
      <c r="A10" s="3" t="s">
        <v>164</v>
      </c>
      <c r="B10" s="7" t="s">
        <v>165</v>
      </c>
    </row>
    <row r="11" spans="1:2" x14ac:dyDescent="0.35">
      <c r="A11" s="3" t="s">
        <v>166</v>
      </c>
      <c r="B11" s="7" t="s">
        <v>167</v>
      </c>
    </row>
    <row r="12" spans="1:2" x14ac:dyDescent="0.35">
      <c r="A12" s="3" t="s">
        <v>168</v>
      </c>
      <c r="B12" s="7" t="s">
        <v>169</v>
      </c>
    </row>
    <row r="13" spans="1:2" ht="29" x14ac:dyDescent="0.35">
      <c r="A13" s="3" t="s">
        <v>170</v>
      </c>
      <c r="B13" s="7" t="s">
        <v>171</v>
      </c>
    </row>
    <row r="15" spans="1:2" x14ac:dyDescent="0.35">
      <c r="A15" t="s">
        <v>172</v>
      </c>
      <c r="B15" t="s">
        <v>173</v>
      </c>
    </row>
    <row r="16" spans="1:2" x14ac:dyDescent="0.35">
      <c r="A16" t="s">
        <v>174</v>
      </c>
      <c r="B16" t="s">
        <v>175</v>
      </c>
    </row>
    <row r="17" spans="1:2" x14ac:dyDescent="0.35">
      <c r="A17" t="s">
        <v>176</v>
      </c>
      <c r="B17" t="s">
        <v>177</v>
      </c>
    </row>
    <row r="18" spans="1:2" x14ac:dyDescent="0.35">
      <c r="A18" t="s">
        <v>178</v>
      </c>
      <c r="B18" t="s">
        <v>179</v>
      </c>
    </row>
    <row r="19" spans="1:2" x14ac:dyDescent="0.35">
      <c r="A19" t="s">
        <v>180</v>
      </c>
      <c r="B19" t="s">
        <v>181</v>
      </c>
    </row>
  </sheetData>
  <mergeCells count="1">
    <mergeCell ref="A1:B1"/>
  </mergeCells>
  <phoneticPr fontId="1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9"/>
  <sheetViews>
    <sheetView workbookViewId="0">
      <selection activeCell="A11" sqref="A11"/>
    </sheetView>
  </sheetViews>
  <sheetFormatPr defaultRowHeight="14.5" x14ac:dyDescent="0.35"/>
  <cols>
    <col min="1" max="1" width="16" style="6" customWidth="1"/>
    <col min="2" max="3" width="15" style="6" customWidth="1"/>
    <col min="4" max="5" width="16" style="6" customWidth="1"/>
    <col min="6" max="7" width="15" style="6" customWidth="1"/>
    <col min="8" max="8" width="22" style="6" customWidth="1"/>
    <col min="9" max="9" width="45" style="6" customWidth="1"/>
  </cols>
  <sheetData>
    <row r="1" spans="1:9" ht="18.5" x14ac:dyDescent="0.45">
      <c r="A1" s="29" t="s">
        <v>182</v>
      </c>
    </row>
    <row r="2" spans="1:9" x14ac:dyDescent="0.35">
      <c r="A2" t="s">
        <v>183</v>
      </c>
    </row>
    <row r="4" spans="1:9" x14ac:dyDescent="0.35">
      <c r="A4" s="30" t="s">
        <v>184</v>
      </c>
      <c r="B4" s="30" t="s">
        <v>185</v>
      </c>
      <c r="C4" s="30" t="s">
        <v>186</v>
      </c>
      <c r="D4" s="30" t="s">
        <v>187</v>
      </c>
      <c r="E4" s="30" t="s">
        <v>188</v>
      </c>
      <c r="F4" s="30" t="s">
        <v>102</v>
      </c>
      <c r="G4" s="30" t="s">
        <v>103</v>
      </c>
      <c r="H4" s="30" t="s">
        <v>189</v>
      </c>
      <c r="I4" s="30" t="s">
        <v>190</v>
      </c>
    </row>
    <row r="5" spans="1:9" x14ac:dyDescent="0.35">
      <c r="A5" s="31" t="s">
        <v>191</v>
      </c>
      <c r="B5" s="31" t="s">
        <v>192</v>
      </c>
      <c r="C5" s="31" t="s">
        <v>193</v>
      </c>
      <c r="D5" s="32">
        <v>0.15</v>
      </c>
      <c r="E5" s="32">
        <v>0.15</v>
      </c>
      <c r="F5" s="32">
        <v>0.6</v>
      </c>
      <c r="G5" s="32">
        <v>0.83</v>
      </c>
      <c r="H5" s="33" t="s">
        <v>194</v>
      </c>
      <c r="I5" s="33" t="s">
        <v>177</v>
      </c>
    </row>
    <row r="6" spans="1:9" x14ac:dyDescent="0.35">
      <c r="A6" s="31" t="s">
        <v>110</v>
      </c>
      <c r="B6" s="31" t="s">
        <v>195</v>
      </c>
      <c r="C6" s="31" t="s">
        <v>193</v>
      </c>
      <c r="D6" s="32">
        <v>0.16</v>
      </c>
      <c r="E6" s="32">
        <v>0.16</v>
      </c>
      <c r="F6" s="32">
        <v>0.44</v>
      </c>
      <c r="G6" s="32">
        <v>0.8</v>
      </c>
      <c r="H6" s="33" t="s">
        <v>196</v>
      </c>
      <c r="I6" s="33" t="s">
        <v>177</v>
      </c>
    </row>
    <row r="7" spans="1:9" x14ac:dyDescent="0.35">
      <c r="A7" s="31" t="s">
        <v>197</v>
      </c>
      <c r="B7" s="31" t="s">
        <v>198</v>
      </c>
      <c r="C7" s="31" t="s">
        <v>193</v>
      </c>
      <c r="D7" s="32">
        <v>0.19</v>
      </c>
      <c r="E7" s="32">
        <v>0.19</v>
      </c>
      <c r="F7" s="32">
        <v>0.28999999999999998</v>
      </c>
      <c r="G7" s="32">
        <v>0.78</v>
      </c>
      <c r="H7" s="33" t="s">
        <v>199</v>
      </c>
      <c r="I7" s="33" t="s">
        <v>177</v>
      </c>
    </row>
    <row r="8" spans="1:9" x14ac:dyDescent="0.35">
      <c r="A8" s="31" t="s">
        <v>200</v>
      </c>
      <c r="B8" s="31" t="s">
        <v>201</v>
      </c>
      <c r="C8" s="31" t="s">
        <v>202</v>
      </c>
      <c r="D8" s="32">
        <v>0.16</v>
      </c>
      <c r="E8" s="32">
        <v>0.16</v>
      </c>
      <c r="F8" s="32">
        <v>0.25</v>
      </c>
      <c r="G8" s="32">
        <v>0.67</v>
      </c>
      <c r="H8" s="33" t="s">
        <v>203</v>
      </c>
      <c r="I8" s="33" t="s">
        <v>177</v>
      </c>
    </row>
    <row r="9" spans="1:9" x14ac:dyDescent="0.35">
      <c r="A9" s="31" t="s">
        <v>204</v>
      </c>
      <c r="B9" s="31" t="s">
        <v>201</v>
      </c>
      <c r="C9" s="31" t="s">
        <v>195</v>
      </c>
      <c r="D9" s="32">
        <v>0.16</v>
      </c>
      <c r="E9" s="32">
        <v>0.16</v>
      </c>
      <c r="F9" s="32">
        <v>0.25</v>
      </c>
      <c r="G9" s="32">
        <v>0.46</v>
      </c>
      <c r="H9" s="33" t="s">
        <v>205</v>
      </c>
      <c r="I9" s="33" t="s">
        <v>177</v>
      </c>
    </row>
  </sheetData>
  <phoneticPr fontId="1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具名範圍</vt:lpstr>
      </vt:variant>
      <vt:variant>
        <vt:i4>14</vt:i4>
      </vt:variant>
    </vt:vector>
  </HeadingPairs>
  <TitlesOfParts>
    <vt:vector size="19" baseType="lpstr">
      <vt:lpstr>Calculator</vt:lpstr>
      <vt:lpstr>Net_Impact</vt:lpstr>
      <vt:lpstr>Batch_Cases</vt:lpstr>
      <vt:lpstr>Notes</vt:lpstr>
      <vt:lpstr>Insect_Net_Library</vt:lpstr>
      <vt:lpstr>CdSingle</vt:lpstr>
      <vt:lpstr>CwRoofSide</vt:lpstr>
      <vt:lpstr>CwSingle</vt:lpstr>
      <vt:lpstr>DeltaT</vt:lpstr>
      <vt:lpstr>FloorArea</vt:lpstr>
      <vt:lpstr>Gravity</vt:lpstr>
      <vt:lpstr>HeightDiffHc</vt:lpstr>
      <vt:lpstr>HeightH</vt:lpstr>
      <vt:lpstr>KgRoofSide</vt:lpstr>
      <vt:lpstr>LeftRatio</vt:lpstr>
      <vt:lpstr>RightRatio</vt:lpstr>
      <vt:lpstr>RoofRatio</vt:lpstr>
      <vt:lpstr>ToK</vt:lpstr>
      <vt:lpstr>WindU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FangWei</cp:lastModifiedBy>
  <dcterms:modified xsi:type="dcterms:W3CDTF">2026-03-23T15:17:22Z</dcterms:modified>
</cp:coreProperties>
</file>