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eifang\Desktop\"/>
    </mc:Choice>
  </mc:AlternateContent>
  <xr:revisionPtr revIDLastSave="0" documentId="13_ncr:1_{DE230560-AD47-40DA-A36F-449D03108353}" xr6:coauthVersionLast="36" xr6:coauthVersionMax="36" xr10:uidLastSave="{00000000-0000-0000-0000-000000000000}"/>
  <bookViews>
    <workbookView xWindow="0" yWindow="0" windowWidth="19200" windowHeight="6420" xr2:uid="{00000000-000D-0000-FFFF-FFFF00000000}"/>
  </bookViews>
  <sheets>
    <sheet name="說明" sheetId="10" r:id="rId1"/>
    <sheet name="輸入" sheetId="1" r:id="rId2"/>
    <sheet name="計算" sheetId="2" r:id="rId3"/>
    <sheet name="彙總" sheetId="3" r:id="rId4"/>
    <sheet name="儀錶板" sheetId="12" r:id="rId5"/>
    <sheet name="氣象查表" sheetId="6" r:id="rId6"/>
    <sheet name="u值查表" sheetId="7" r:id="rId7"/>
    <sheet name="設備查表" sheetId="8" r:id="rId8"/>
    <sheet name="燃料查表" sheetId="9" r:id="rId9"/>
  </sheets>
  <externalReferences>
    <externalReference r:id="rId10"/>
  </externalReferences>
  <definedNames>
    <definedName name="COPmax">輸入!$E$16</definedName>
    <definedName name="COPmin">輸入!$E$17</definedName>
    <definedName name="COPslope">輸入!$E$15</definedName>
  </definedNames>
  <calcPr calcId="191029"/>
</workbook>
</file>

<file path=xl/calcChain.xml><?xml version="1.0" encoding="utf-8"?>
<calcChain xmlns="http://schemas.openxmlformats.org/spreadsheetml/2006/main">
  <c r="L8" i="3" l="1"/>
  <c r="R24" i="3" l="1"/>
  <c r="Q24" i="3"/>
  <c r="P24" i="3"/>
  <c r="O24" i="3"/>
  <c r="R23" i="3"/>
  <c r="Q23" i="3"/>
  <c r="P23" i="3"/>
  <c r="O23" i="3"/>
  <c r="R22" i="3"/>
  <c r="Q22" i="3"/>
  <c r="P22" i="3"/>
  <c r="O22" i="3"/>
  <c r="R21" i="3"/>
  <c r="Q21" i="3"/>
  <c r="P21" i="3"/>
  <c r="O21" i="3"/>
  <c r="R20" i="3"/>
  <c r="Q20" i="3"/>
  <c r="P20" i="3"/>
  <c r="O20" i="3"/>
  <c r="CM102" i="2"/>
  <c r="CN102" i="2" s="1"/>
  <c r="CM101" i="2"/>
  <c r="CN101" i="2" s="1"/>
  <c r="CM100" i="2"/>
  <c r="CN100" i="2" s="1"/>
  <c r="CM99" i="2"/>
  <c r="CN99" i="2" s="1"/>
  <c r="CM98" i="2"/>
  <c r="CN98" i="2" s="1"/>
  <c r="CM97" i="2"/>
  <c r="CM96" i="2"/>
  <c r="CM95" i="2"/>
  <c r="CM94" i="2"/>
  <c r="CM93" i="2"/>
  <c r="CM92" i="2"/>
  <c r="CM91" i="2"/>
  <c r="CM90" i="2"/>
  <c r="CM89" i="2"/>
  <c r="CM88" i="2"/>
  <c r="CM87" i="2"/>
  <c r="CM86" i="2"/>
  <c r="CM85" i="2"/>
  <c r="CM84" i="2"/>
  <c r="CM83" i="2"/>
  <c r="CM82" i="2"/>
  <c r="CM81" i="2"/>
  <c r="CM80" i="2"/>
  <c r="CM79" i="2"/>
  <c r="CM78" i="2"/>
  <c r="CM77" i="2"/>
  <c r="CM76" i="2"/>
  <c r="CM75" i="2"/>
  <c r="CM74" i="2"/>
  <c r="CM73" i="2"/>
  <c r="CM72" i="2"/>
  <c r="CM71" i="2"/>
  <c r="CM70" i="2"/>
  <c r="CM69" i="2"/>
  <c r="CM68" i="2"/>
  <c r="CM67" i="2"/>
  <c r="CM66" i="2"/>
  <c r="CM65" i="2"/>
  <c r="CM64" i="2"/>
  <c r="CM63" i="2"/>
  <c r="CM62" i="2"/>
  <c r="CM61" i="2"/>
  <c r="CM60" i="2"/>
  <c r="CM59" i="2"/>
  <c r="CM58" i="2"/>
  <c r="CM57" i="2"/>
  <c r="CM56" i="2"/>
  <c r="CM55" i="2"/>
  <c r="CM54" i="2"/>
  <c r="CM53" i="2"/>
  <c r="CM52" i="2"/>
  <c r="CM51" i="2"/>
  <c r="CM50" i="2"/>
  <c r="CM49" i="2"/>
  <c r="CM48" i="2"/>
  <c r="CM47" i="2"/>
  <c r="CM46" i="2"/>
  <c r="CM45" i="2"/>
  <c r="CM44" i="2"/>
  <c r="CM43" i="2"/>
  <c r="CM42" i="2"/>
  <c r="CM41" i="2"/>
  <c r="CM40" i="2"/>
  <c r="CM39" i="2"/>
  <c r="CM38" i="2"/>
  <c r="CM37" i="2"/>
  <c r="CM36" i="2"/>
  <c r="CM35" i="2"/>
  <c r="CM34" i="2"/>
  <c r="CM33" i="2"/>
  <c r="CM32" i="2"/>
  <c r="CM31" i="2"/>
  <c r="CM30" i="2"/>
  <c r="CM29" i="2"/>
  <c r="CM28" i="2"/>
  <c r="CM27" i="2"/>
  <c r="CM26" i="2"/>
  <c r="CM25" i="2"/>
  <c r="CM24" i="2"/>
  <c r="CM23" i="2"/>
  <c r="CP22" i="2"/>
  <c r="CO22" i="2"/>
  <c r="CN22" i="2"/>
  <c r="CM22" i="2"/>
  <c r="CP21" i="2"/>
  <c r="CO21" i="2"/>
  <c r="CN21" i="2"/>
  <c r="CM21" i="2"/>
  <c r="CP20" i="2"/>
  <c r="CO20" i="2"/>
  <c r="CN20" i="2"/>
  <c r="CM20" i="2"/>
  <c r="CP19" i="2"/>
  <c r="CO19" i="2"/>
  <c r="CN19" i="2"/>
  <c r="CM19" i="2"/>
  <c r="CP18" i="2"/>
  <c r="CO18" i="2"/>
  <c r="CN18" i="2"/>
  <c r="CM18" i="2"/>
  <c r="B17" i="2"/>
  <c r="F13" i="2"/>
  <c r="E13" i="2"/>
  <c r="F12" i="2"/>
  <c r="H12" i="2" s="1"/>
  <c r="E12" i="2"/>
  <c r="G12" i="2" s="1"/>
  <c r="F11" i="2"/>
  <c r="H11" i="2" s="1"/>
  <c r="E11" i="2"/>
  <c r="G11" i="2" s="1"/>
  <c r="F10" i="2"/>
  <c r="H10" i="2" s="1"/>
  <c r="E10" i="2"/>
  <c r="G10" i="2" s="1"/>
  <c r="N9" i="2"/>
  <c r="F9" i="2"/>
  <c r="H9" i="2" s="1"/>
  <c r="E9" i="2"/>
  <c r="G9" i="2" s="1"/>
  <c r="F8" i="2"/>
  <c r="H8" i="2" s="1"/>
  <c r="E8" i="2"/>
  <c r="G8" i="2" s="1"/>
  <c r="F7" i="2"/>
  <c r="H7" i="2" s="1"/>
  <c r="E7" i="2"/>
  <c r="G7" i="2" s="1"/>
  <c r="F6" i="2"/>
  <c r="H6" i="2" s="1"/>
  <c r="E6" i="2"/>
  <c r="G6" i="2" s="1"/>
  <c r="F5" i="2"/>
  <c r="H5" i="2" s="1"/>
  <c r="E5" i="2"/>
  <c r="G5" i="2" s="1"/>
  <c r="F4" i="2"/>
  <c r="H4" i="2" s="1"/>
  <c r="E4" i="2"/>
  <c r="G4" i="2" s="1"/>
  <c r="CX3" i="2"/>
  <c r="CX4" i="2" s="1"/>
  <c r="F3" i="2"/>
  <c r="H3" i="2" s="1"/>
  <c r="E3" i="2"/>
  <c r="G3" i="2" s="1"/>
  <c r="CY2" i="2"/>
  <c r="F2" i="2"/>
  <c r="H2" i="2" s="1"/>
  <c r="E2" i="2"/>
  <c r="G2" i="2" s="1"/>
  <c r="E34" i="1"/>
  <c r="D34" i="1"/>
  <c r="C34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B16" i="1"/>
  <c r="B15" i="1"/>
  <c r="E9" i="1"/>
  <c r="E8" i="1"/>
  <c r="R6" i="1"/>
  <c r="E7" i="3" s="1"/>
  <c r="Q6" i="1"/>
  <c r="T6" i="1" s="1"/>
  <c r="P6" i="1"/>
  <c r="B6" i="1"/>
  <c r="R5" i="1"/>
  <c r="E6" i="3" s="1"/>
  <c r="Q5" i="1"/>
  <c r="T5" i="1" s="1"/>
  <c r="P5" i="1"/>
  <c r="S5" i="1" s="1"/>
  <c r="B5" i="1"/>
  <c r="C12" i="2" s="1"/>
  <c r="D12" i="2" s="1"/>
  <c r="R4" i="1"/>
  <c r="E5" i="3" s="1"/>
  <c r="Q4" i="1"/>
  <c r="T4" i="1" s="1"/>
  <c r="AE3" i="2" s="1"/>
  <c r="P4" i="1"/>
  <c r="E4" i="1"/>
  <c r="O9" i="2" s="1"/>
  <c r="R3" i="1"/>
  <c r="E4" i="3" s="1"/>
  <c r="Q3" i="1"/>
  <c r="T3" i="1" s="1"/>
  <c r="P3" i="1"/>
  <c r="H13" i="2" l="1"/>
  <c r="G13" i="2"/>
  <c r="V3" i="1"/>
  <c r="I4" i="3" s="1"/>
  <c r="B17" i="1"/>
  <c r="G28" i="1"/>
  <c r="F32" i="1"/>
  <c r="V4" i="1"/>
  <c r="I5" i="3" s="1"/>
  <c r="G25" i="1"/>
  <c r="F33" i="1"/>
  <c r="G24" i="1"/>
  <c r="G26" i="1"/>
  <c r="G34" i="1"/>
  <c r="G30" i="1"/>
  <c r="F25" i="1"/>
  <c r="G33" i="1"/>
  <c r="G23" i="1"/>
  <c r="G27" i="1"/>
  <c r="S4" i="1"/>
  <c r="V6" i="1"/>
  <c r="I7" i="3" s="1"/>
  <c r="I27" i="1"/>
  <c r="J27" i="1" s="1"/>
  <c r="V5" i="1"/>
  <c r="I6" i="3" s="1"/>
  <c r="I32" i="1"/>
  <c r="J32" i="1" s="1"/>
  <c r="F34" i="1"/>
  <c r="F26" i="1"/>
  <c r="F31" i="1"/>
  <c r="CY3" i="2"/>
  <c r="AF3" i="2"/>
  <c r="AG3" i="2"/>
  <c r="AL13" i="2"/>
  <c r="AL12" i="2"/>
  <c r="AL11" i="2"/>
  <c r="R13" i="2"/>
  <c r="J6" i="3"/>
  <c r="R12" i="2"/>
  <c r="R11" i="2"/>
  <c r="R10" i="2"/>
  <c r="R9" i="2"/>
  <c r="R8" i="2"/>
  <c r="R2" i="2"/>
  <c r="AL10" i="2"/>
  <c r="AL9" i="2"/>
  <c r="AL8" i="2"/>
  <c r="AL7" i="2"/>
  <c r="AL2" i="2"/>
  <c r="R7" i="2"/>
  <c r="R6" i="2"/>
  <c r="R5" i="2"/>
  <c r="R4" i="2"/>
  <c r="R3" i="2"/>
  <c r="AL5" i="2"/>
  <c r="AL3" i="2"/>
  <c r="AL4" i="2"/>
  <c r="AL6" i="2"/>
  <c r="BA13" i="2"/>
  <c r="BA12" i="2"/>
  <c r="BA11" i="2"/>
  <c r="J7" i="3"/>
  <c r="BA10" i="2"/>
  <c r="BA9" i="2"/>
  <c r="BA8" i="2"/>
  <c r="BA7" i="2"/>
  <c r="BA4" i="2"/>
  <c r="BA2" i="2"/>
  <c r="BA3" i="2"/>
  <c r="BA6" i="2"/>
  <c r="BA5" i="2"/>
  <c r="G29" i="1"/>
  <c r="F29" i="1"/>
  <c r="S3" i="1"/>
  <c r="F24" i="1"/>
  <c r="I26" i="1"/>
  <c r="J26" i="1" s="1"/>
  <c r="AE5" i="2"/>
  <c r="C15" i="3"/>
  <c r="D15" i="3"/>
  <c r="I25" i="1"/>
  <c r="J25" i="1" s="1"/>
  <c r="F28" i="1"/>
  <c r="S6" i="1"/>
  <c r="I33" i="1"/>
  <c r="J33" i="1" s="1"/>
  <c r="C11" i="2"/>
  <c r="D11" i="2" s="1"/>
  <c r="C10" i="2"/>
  <c r="D10" i="2" s="1"/>
  <c r="C9" i="2"/>
  <c r="D9" i="2" s="1"/>
  <c r="C8" i="2"/>
  <c r="D8" i="2" s="1"/>
  <c r="I29" i="1"/>
  <c r="J29" i="1" s="1"/>
  <c r="C7" i="2"/>
  <c r="D7" i="2" s="1"/>
  <c r="C6" i="2"/>
  <c r="D6" i="2" s="1"/>
  <c r="C5" i="2"/>
  <c r="D5" i="2" s="1"/>
  <c r="C4" i="2"/>
  <c r="D4" i="2" s="1"/>
  <c r="C3" i="2"/>
  <c r="D3" i="2" s="1"/>
  <c r="I30" i="1"/>
  <c r="J30" i="1" s="1"/>
  <c r="I31" i="1"/>
  <c r="J31" i="1" s="1"/>
  <c r="E12" i="1"/>
  <c r="F23" i="1"/>
  <c r="I24" i="1"/>
  <c r="J24" i="1" s="1"/>
  <c r="G31" i="1"/>
  <c r="CX5" i="2"/>
  <c r="AE4" i="2"/>
  <c r="E13" i="1"/>
  <c r="G32" i="1"/>
  <c r="I34" i="1"/>
  <c r="J34" i="1" s="1"/>
  <c r="AE2" i="2"/>
  <c r="I23" i="1"/>
  <c r="J23" i="1" s="1"/>
  <c r="C2" i="2"/>
  <c r="D2" i="2" s="1"/>
  <c r="CY4" i="2"/>
  <c r="F27" i="1"/>
  <c r="I28" i="1"/>
  <c r="J28" i="1" s="1"/>
  <c r="J5" i="3"/>
  <c r="AE13" i="2"/>
  <c r="AE12" i="2"/>
  <c r="AE11" i="2"/>
  <c r="AE7" i="2"/>
  <c r="AE6" i="2"/>
  <c r="AE10" i="2"/>
  <c r="AE9" i="2"/>
  <c r="AE8" i="2"/>
  <c r="F15" i="3"/>
  <c r="E15" i="3"/>
  <c r="F30" i="1"/>
  <c r="C13" i="2"/>
  <c r="D13" i="2" s="1"/>
  <c r="U4" i="1" l="1"/>
  <c r="Y4" i="1" s="1"/>
  <c r="AI5" i="1" s="1"/>
  <c r="J13" i="2"/>
  <c r="M13" i="2" s="1"/>
  <c r="P13" i="2" s="1"/>
  <c r="J3" i="2"/>
  <c r="M3" i="2" s="1"/>
  <c r="P3" i="2" s="1"/>
  <c r="J10" i="2"/>
  <c r="M10" i="2" s="1"/>
  <c r="Q10" i="2" s="1"/>
  <c r="U5" i="1"/>
  <c r="AA5" i="1" s="1"/>
  <c r="J7" i="2"/>
  <c r="M7" i="2" s="1"/>
  <c r="P7" i="2" s="1"/>
  <c r="U6" i="1"/>
  <c r="Y6" i="1" s="1"/>
  <c r="AI7" i="1" s="1"/>
  <c r="J2" i="2"/>
  <c r="M2" i="2" s="1"/>
  <c r="P2" i="2" s="1"/>
  <c r="J12" i="2"/>
  <c r="M12" i="2" s="1"/>
  <c r="P12" i="2" s="1"/>
  <c r="J8" i="2"/>
  <c r="M8" i="2" s="1"/>
  <c r="P8" i="2" s="1"/>
  <c r="I12" i="2"/>
  <c r="K12" i="2" s="1"/>
  <c r="L12" i="2" s="1"/>
  <c r="J6" i="2"/>
  <c r="M6" i="2" s="1"/>
  <c r="P6" i="2" s="1"/>
  <c r="J9" i="2"/>
  <c r="M9" i="2" s="1"/>
  <c r="P9" i="2" s="1"/>
  <c r="U3" i="1"/>
  <c r="Y3" i="1" s="1"/>
  <c r="AI4" i="1" s="1"/>
  <c r="J4" i="2"/>
  <c r="M4" i="2" s="1"/>
  <c r="Q4" i="2" s="1"/>
  <c r="J11" i="2"/>
  <c r="M11" i="2" s="1"/>
  <c r="P11" i="2" s="1"/>
  <c r="B16" i="2"/>
  <c r="J5" i="2"/>
  <c r="M5" i="2" s="1"/>
  <c r="Q5" i="2" s="1"/>
  <c r="I9" i="2"/>
  <c r="K9" i="2" s="1"/>
  <c r="BB7" i="2"/>
  <c r="BC7" i="2"/>
  <c r="T4" i="2"/>
  <c r="AN4" i="2" s="1"/>
  <c r="S4" i="2"/>
  <c r="AM4" i="2" s="1"/>
  <c r="T13" i="2"/>
  <c r="AN13" i="2" s="1"/>
  <c r="S13" i="2"/>
  <c r="AM13" i="2" s="1"/>
  <c r="AG10" i="2"/>
  <c r="AF10" i="2"/>
  <c r="BB8" i="2"/>
  <c r="BC8" i="2"/>
  <c r="I10" i="2"/>
  <c r="T5" i="2"/>
  <c r="AN5" i="2" s="1"/>
  <c r="S5" i="2"/>
  <c r="AM5" i="2" s="1"/>
  <c r="T2" i="2"/>
  <c r="AN2" i="2" s="1"/>
  <c r="S2" i="2"/>
  <c r="AM2" i="2" s="1"/>
  <c r="AF6" i="2"/>
  <c r="AG6" i="2"/>
  <c r="AF4" i="2"/>
  <c r="AG4" i="2"/>
  <c r="P4" i="3"/>
  <c r="BB9" i="2"/>
  <c r="BC9" i="2"/>
  <c r="I3" i="2"/>
  <c r="I11" i="2"/>
  <c r="T6" i="2"/>
  <c r="AN6" i="2" s="1"/>
  <c r="S6" i="2"/>
  <c r="AM6" i="2" s="1"/>
  <c r="T8" i="2"/>
  <c r="AN8" i="2" s="1"/>
  <c r="S8" i="2"/>
  <c r="AM8" i="2" s="1"/>
  <c r="AF7" i="2"/>
  <c r="AG7" i="2"/>
  <c r="O4" i="3"/>
  <c r="BC5" i="2"/>
  <c r="BB5" i="2"/>
  <c r="BB10" i="2"/>
  <c r="BC10" i="2"/>
  <c r="I5" i="2"/>
  <c r="I7" i="2"/>
  <c r="T7" i="2"/>
  <c r="AN7" i="2" s="1"/>
  <c r="S7" i="2"/>
  <c r="AM7" i="2" s="1"/>
  <c r="T9" i="2"/>
  <c r="AN9" i="2" s="1"/>
  <c r="S9" i="2"/>
  <c r="AG11" i="2"/>
  <c r="AF11" i="2"/>
  <c r="CX6" i="2"/>
  <c r="CY5" i="2"/>
  <c r="AF5" i="2"/>
  <c r="AG5" i="2"/>
  <c r="BC6" i="2"/>
  <c r="BB6" i="2"/>
  <c r="I4" i="2"/>
  <c r="T10" i="2"/>
  <c r="AN10" i="2" s="1"/>
  <c r="S10" i="2"/>
  <c r="AM10" i="2" s="1"/>
  <c r="AG9" i="2"/>
  <c r="AF9" i="2"/>
  <c r="Q4" i="3"/>
  <c r="AG12" i="2"/>
  <c r="AF12" i="2"/>
  <c r="BC3" i="2"/>
  <c r="BB3" i="2"/>
  <c r="BC11" i="2"/>
  <c r="BB11" i="2"/>
  <c r="I13" i="2"/>
  <c r="T11" i="2"/>
  <c r="AN11" i="2" s="1"/>
  <c r="S11" i="2"/>
  <c r="AM11" i="2" s="1"/>
  <c r="R4" i="3"/>
  <c r="AG13" i="2"/>
  <c r="AF13" i="2"/>
  <c r="AG2" i="2"/>
  <c r="AF2" i="2"/>
  <c r="BB2" i="2"/>
  <c r="BC2" i="2"/>
  <c r="BC12" i="2"/>
  <c r="BB12" i="2"/>
  <c r="I2" i="2"/>
  <c r="T12" i="2"/>
  <c r="AN12" i="2" s="1"/>
  <c r="S12" i="2"/>
  <c r="AM12" i="2" s="1"/>
  <c r="AG8" i="2"/>
  <c r="AF8" i="2"/>
  <c r="Z12" i="2"/>
  <c r="Z11" i="2"/>
  <c r="J4" i="3"/>
  <c r="Z13" i="2"/>
  <c r="Z2" i="2"/>
  <c r="Z10" i="2"/>
  <c r="Z9" i="2"/>
  <c r="Z8" i="2"/>
  <c r="Z7" i="2"/>
  <c r="Z6" i="2"/>
  <c r="Z5" i="2"/>
  <c r="Z4" i="2"/>
  <c r="Z3" i="2"/>
  <c r="BC4" i="2"/>
  <c r="BB4" i="2"/>
  <c r="BB13" i="2"/>
  <c r="BC13" i="2"/>
  <c r="I6" i="2"/>
  <c r="I8" i="2"/>
  <c r="T3" i="2"/>
  <c r="AN3" i="2" s="1"/>
  <c r="S3" i="2"/>
  <c r="AM3" i="2" s="1"/>
  <c r="W4" i="1" l="1"/>
  <c r="Z4" i="1"/>
  <c r="AJ5" i="1" s="1"/>
  <c r="X4" i="1"/>
  <c r="AH5" i="1" s="1"/>
  <c r="AA4" i="1"/>
  <c r="H5" i="3" s="1"/>
  <c r="Q13" i="2"/>
  <c r="Q12" i="2"/>
  <c r="Z6" i="1"/>
  <c r="AJ7" i="1" s="1"/>
  <c r="W6" i="1"/>
  <c r="Q3" i="2"/>
  <c r="P10" i="2"/>
  <c r="Q8" i="2"/>
  <c r="Q2" i="2"/>
  <c r="Q11" i="2"/>
  <c r="Q9" i="2"/>
  <c r="V9" i="2" s="1"/>
  <c r="X9" i="2" s="1"/>
  <c r="Q6" i="2"/>
  <c r="Z5" i="1"/>
  <c r="AJ6" i="1" s="1"/>
  <c r="Q7" i="2"/>
  <c r="AA9" i="2"/>
  <c r="AB9" i="2" s="1"/>
  <c r="Y5" i="1"/>
  <c r="AI6" i="1" s="1"/>
  <c r="AA6" i="1"/>
  <c r="H7" i="3" s="1"/>
  <c r="P4" i="2"/>
  <c r="X6" i="1"/>
  <c r="AH7" i="1" s="1"/>
  <c r="X5" i="1"/>
  <c r="AH6" i="1" s="1"/>
  <c r="W5" i="1"/>
  <c r="AA3" i="1"/>
  <c r="H4" i="3" s="1"/>
  <c r="X3" i="1"/>
  <c r="AH4" i="1" s="1"/>
  <c r="W3" i="1"/>
  <c r="Z3" i="1"/>
  <c r="AJ4" i="1" s="1"/>
  <c r="P5" i="2"/>
  <c r="L9" i="2"/>
  <c r="K11" i="2"/>
  <c r="L11" i="2" s="1"/>
  <c r="K6" i="2"/>
  <c r="L6" i="2" s="1"/>
  <c r="K3" i="2"/>
  <c r="L3" i="2" s="1"/>
  <c r="K7" i="2"/>
  <c r="L7" i="2" s="1"/>
  <c r="CX7" i="2"/>
  <c r="CY6" i="2"/>
  <c r="K5" i="2"/>
  <c r="L5" i="2" s="1"/>
  <c r="K10" i="2"/>
  <c r="L10" i="2" s="1"/>
  <c r="K13" i="2"/>
  <c r="L13" i="2" s="1"/>
  <c r="K4" i="2"/>
  <c r="L4" i="2" s="1"/>
  <c r="AI12" i="2"/>
  <c r="AH12" i="2"/>
  <c r="AJ12" i="2" s="1"/>
  <c r="AK12" i="2" s="1"/>
  <c r="N12" i="2"/>
  <c r="O12" i="2"/>
  <c r="AA12" i="2"/>
  <c r="K8" i="2"/>
  <c r="L8" i="2" s="1"/>
  <c r="AM9" i="2"/>
  <c r="W9" i="2"/>
  <c r="U9" i="2"/>
  <c r="AO9" i="2" s="1"/>
  <c r="AP9" i="2" s="1"/>
  <c r="H6" i="3"/>
  <c r="AK6" i="1"/>
  <c r="K2" i="2"/>
  <c r="L2" i="2" s="1"/>
  <c r="CN93" i="2" l="1"/>
  <c r="CN94" i="2"/>
  <c r="CN95" i="2"/>
  <c r="CN96" i="2"/>
  <c r="CN97" i="2"/>
  <c r="AK5" i="1"/>
  <c r="AH9" i="2"/>
  <c r="AJ9" i="2" s="1"/>
  <c r="AK9" i="2" s="1"/>
  <c r="AI9" i="2"/>
  <c r="V12" i="2"/>
  <c r="AQ12" i="2" s="1"/>
  <c r="AQ9" i="2"/>
  <c r="AR9" i="2" s="1"/>
  <c r="AK7" i="1"/>
  <c r="AC9" i="2"/>
  <c r="AD9" i="2" s="1"/>
  <c r="AK4" i="1"/>
  <c r="Y9" i="2"/>
  <c r="O7" i="2"/>
  <c r="V7" i="2" s="1"/>
  <c r="N7" i="2"/>
  <c r="AI7" i="2"/>
  <c r="AA7" i="2"/>
  <c r="AH7" i="2"/>
  <c r="AJ7" i="2" s="1"/>
  <c r="AK7" i="2" s="1"/>
  <c r="AA10" i="2"/>
  <c r="O10" i="2"/>
  <c r="V10" i="2" s="1"/>
  <c r="AI10" i="2"/>
  <c r="N10" i="2"/>
  <c r="AH10" i="2"/>
  <c r="AJ10" i="2" s="1"/>
  <c r="AK10" i="2" s="1"/>
  <c r="AI3" i="2"/>
  <c r="AA3" i="2"/>
  <c r="AH3" i="2"/>
  <c r="AJ3" i="2" s="1"/>
  <c r="AK3" i="2" s="1"/>
  <c r="O3" i="2"/>
  <c r="V3" i="2" s="1"/>
  <c r="N3" i="2"/>
  <c r="AI5" i="2"/>
  <c r="AA5" i="2"/>
  <c r="AH5" i="2"/>
  <c r="AJ5" i="2" s="1"/>
  <c r="AK5" i="2" s="1"/>
  <c r="O5" i="2"/>
  <c r="V5" i="2" s="1"/>
  <c r="N5" i="2"/>
  <c r="CZ6" i="2"/>
  <c r="AI11" i="2"/>
  <c r="AA11" i="2"/>
  <c r="O11" i="2"/>
  <c r="V11" i="2" s="1"/>
  <c r="N11" i="2"/>
  <c r="AH11" i="2"/>
  <c r="AJ11" i="2" s="1"/>
  <c r="AK11" i="2" s="1"/>
  <c r="O6" i="2"/>
  <c r="V6" i="2" s="1"/>
  <c r="AI6" i="2"/>
  <c r="AA6" i="2"/>
  <c r="AH6" i="2"/>
  <c r="AJ6" i="2" s="1"/>
  <c r="AK6" i="2" s="1"/>
  <c r="N6" i="2"/>
  <c r="N13" i="2"/>
  <c r="AA13" i="2"/>
  <c r="O13" i="2"/>
  <c r="V13" i="2" s="1"/>
  <c r="AI13" i="2"/>
  <c r="AH13" i="2"/>
  <c r="AJ13" i="2" s="1"/>
  <c r="AK13" i="2" s="1"/>
  <c r="AC12" i="2"/>
  <c r="AD12" i="2" s="1"/>
  <c r="AB12" i="2"/>
  <c r="W12" i="2"/>
  <c r="U12" i="2"/>
  <c r="AO12" i="2" s="1"/>
  <c r="AP12" i="2" s="1"/>
  <c r="AI4" i="2"/>
  <c r="AA4" i="2"/>
  <c r="AH4" i="2"/>
  <c r="AJ4" i="2" s="1"/>
  <c r="AK4" i="2" s="1"/>
  <c r="O4" i="2"/>
  <c r="V4" i="2" s="1"/>
  <c r="N4" i="2"/>
  <c r="AA8" i="2"/>
  <c r="O8" i="2"/>
  <c r="V8" i="2" s="1"/>
  <c r="AI8" i="2"/>
  <c r="N8" i="2"/>
  <c r="AH8" i="2"/>
  <c r="AJ8" i="2" s="1"/>
  <c r="AK8" i="2" s="1"/>
  <c r="CY7" i="2"/>
  <c r="CZ7" i="2" s="1"/>
  <c r="CX8" i="2"/>
  <c r="CN86" i="2"/>
  <c r="CN78" i="2"/>
  <c r="CN70" i="2"/>
  <c r="CN64" i="2"/>
  <c r="CN62" i="2"/>
  <c r="CN55" i="2"/>
  <c r="CN87" i="2"/>
  <c r="CN79" i="2"/>
  <c r="CN71" i="2"/>
  <c r="CN92" i="2"/>
  <c r="CN84" i="2"/>
  <c r="CN76" i="2"/>
  <c r="CN59" i="2"/>
  <c r="CN43" i="2"/>
  <c r="CN27" i="2"/>
  <c r="CN63" i="2"/>
  <c r="CN54" i="2"/>
  <c r="CN47" i="2"/>
  <c r="CN38" i="2"/>
  <c r="CN31" i="2"/>
  <c r="AH2" i="2"/>
  <c r="AJ2" i="2" s="1"/>
  <c r="AK2" i="2" s="1"/>
  <c r="CN39" i="2"/>
  <c r="CN23" i="2"/>
  <c r="CN91" i="2"/>
  <c r="CN48" i="2"/>
  <c r="CN32" i="2"/>
  <c r="N2" i="2"/>
  <c r="CN83" i="2"/>
  <c r="CN46" i="2"/>
  <c r="AI2" i="2"/>
  <c r="CZ2" i="2"/>
  <c r="O2" i="2"/>
  <c r="V2" i="2" s="1"/>
  <c r="CN30" i="2"/>
  <c r="AA2" i="2"/>
  <c r="CN75" i="2"/>
  <c r="CN52" i="2"/>
  <c r="CN40" i="2"/>
  <c r="CN81" i="2"/>
  <c r="CN74" i="2"/>
  <c r="CN33" i="2"/>
  <c r="CN24" i="2"/>
  <c r="CN72" i="2"/>
  <c r="CN56" i="2"/>
  <c r="CN89" i="2"/>
  <c r="CN82" i="2"/>
  <c r="CN42" i="2"/>
  <c r="CN37" i="2"/>
  <c r="CZ3" i="2"/>
  <c r="CN28" i="2"/>
  <c r="CN68" i="2"/>
  <c r="CN25" i="2"/>
  <c r="CN90" i="2"/>
  <c r="CN49" i="2"/>
  <c r="CN66" i="2"/>
  <c r="CN60" i="2"/>
  <c r="CN88" i="2"/>
  <c r="CN34" i="2"/>
  <c r="CN53" i="2"/>
  <c r="CN58" i="2"/>
  <c r="CN44" i="2"/>
  <c r="CN29" i="2"/>
  <c r="CN41" i="2"/>
  <c r="CN69" i="2"/>
  <c r="CN65" i="2"/>
  <c r="CN51" i="2"/>
  <c r="CN67" i="2"/>
  <c r="CN45" i="2"/>
  <c r="CN50" i="2"/>
  <c r="CN77" i="2"/>
  <c r="CN26" i="2"/>
  <c r="CN36" i="2"/>
  <c r="CN80" i="2"/>
  <c r="CN61" i="2"/>
  <c r="CN57" i="2"/>
  <c r="CN85" i="2"/>
  <c r="CN35" i="2"/>
  <c r="CN73" i="2"/>
  <c r="CZ4" i="2"/>
  <c r="CZ5" i="2"/>
  <c r="X12" i="2" l="1"/>
  <c r="Y12" i="2" s="1"/>
  <c r="C5" i="3"/>
  <c r="D5" i="3" s="1"/>
  <c r="U4" i="2"/>
  <c r="AO4" i="2" s="1"/>
  <c r="AP4" i="2" s="1"/>
  <c r="W4" i="2"/>
  <c r="U13" i="2"/>
  <c r="AO13" i="2" s="1"/>
  <c r="AP13" i="2" s="1"/>
  <c r="W13" i="2"/>
  <c r="AC5" i="2"/>
  <c r="AD5" i="2" s="1"/>
  <c r="AB5" i="2"/>
  <c r="AB10" i="2"/>
  <c r="AC10" i="2"/>
  <c r="AD10" i="2" s="1"/>
  <c r="F5" i="3"/>
  <c r="G5" i="3" s="1"/>
  <c r="X4" i="2"/>
  <c r="AQ4" i="2"/>
  <c r="AC2" i="2"/>
  <c r="AD2" i="2" s="1"/>
  <c r="AB2" i="2"/>
  <c r="U2" i="2"/>
  <c r="AO2" i="2" s="1"/>
  <c r="AP2" i="2" s="1"/>
  <c r="W2" i="2"/>
  <c r="X6" i="2"/>
  <c r="AQ6" i="2"/>
  <c r="AC7" i="2"/>
  <c r="AD7" i="2" s="1"/>
  <c r="AB7" i="2"/>
  <c r="W8" i="2"/>
  <c r="U8" i="2"/>
  <c r="AO8" i="2" s="1"/>
  <c r="AP8" i="2" s="1"/>
  <c r="AQ2" i="2"/>
  <c r="X2" i="2"/>
  <c r="AC4" i="2"/>
  <c r="AD4" i="2" s="1"/>
  <c r="AB4" i="2"/>
  <c r="W6" i="2"/>
  <c r="U6" i="2"/>
  <c r="AO6" i="2" s="1"/>
  <c r="AP6" i="2" s="1"/>
  <c r="U5" i="2"/>
  <c r="AO5" i="2" s="1"/>
  <c r="AP5" i="2" s="1"/>
  <c r="W5" i="2"/>
  <c r="W3" i="2"/>
  <c r="U3" i="2"/>
  <c r="AO3" i="2" s="1"/>
  <c r="AP3" i="2" s="1"/>
  <c r="W10" i="2"/>
  <c r="U10" i="2"/>
  <c r="AO10" i="2" s="1"/>
  <c r="AP10" i="2" s="1"/>
  <c r="W11" i="2"/>
  <c r="U11" i="2"/>
  <c r="AO11" i="2" s="1"/>
  <c r="AP11" i="2" s="1"/>
  <c r="X5" i="2"/>
  <c r="AQ5" i="2"/>
  <c r="X3" i="2"/>
  <c r="AQ3" i="2"/>
  <c r="CY8" i="2"/>
  <c r="CZ8" i="2" s="1"/>
  <c r="CX9" i="2"/>
  <c r="X8" i="2"/>
  <c r="AQ8" i="2"/>
  <c r="AQ13" i="2"/>
  <c r="X13" i="2"/>
  <c r="AQ11" i="2"/>
  <c r="X11" i="2"/>
  <c r="W7" i="2"/>
  <c r="U7" i="2"/>
  <c r="AO7" i="2" s="1"/>
  <c r="AP7" i="2" s="1"/>
  <c r="AB8" i="2"/>
  <c r="AC8" i="2"/>
  <c r="AD8" i="2" s="1"/>
  <c r="AR12" i="2"/>
  <c r="AB13" i="2"/>
  <c r="AC13" i="2"/>
  <c r="AD13" i="2" s="1"/>
  <c r="AC6" i="2"/>
  <c r="AD6" i="2" s="1"/>
  <c r="AB6" i="2"/>
  <c r="AC11" i="2"/>
  <c r="AD11" i="2" s="1"/>
  <c r="AB11" i="2"/>
  <c r="AB3" i="2"/>
  <c r="AC3" i="2"/>
  <c r="AD3" i="2" s="1"/>
  <c r="X10" i="2"/>
  <c r="AQ10" i="2"/>
  <c r="X7" i="2"/>
  <c r="AQ7" i="2"/>
  <c r="Y3" i="2" l="1"/>
  <c r="Y5" i="2"/>
  <c r="AR6" i="2"/>
  <c r="Y10" i="2"/>
  <c r="AR3" i="2"/>
  <c r="Y2" i="2"/>
  <c r="AR2" i="2"/>
  <c r="AR8" i="2"/>
  <c r="C4" i="3"/>
  <c r="D4" i="3" s="1"/>
  <c r="Y7" i="2"/>
  <c r="Y8" i="2"/>
  <c r="F4" i="3"/>
  <c r="G4" i="3" s="1"/>
  <c r="Y13" i="2"/>
  <c r="AR11" i="2"/>
  <c r="AR13" i="2"/>
  <c r="CY9" i="2"/>
  <c r="CZ9" i="2" s="1"/>
  <c r="CX10" i="2"/>
  <c r="Y11" i="2"/>
  <c r="Y6" i="2"/>
  <c r="Y4" i="2"/>
  <c r="AR7" i="2"/>
  <c r="AR5" i="2"/>
  <c r="AR10" i="2"/>
  <c r="AR4" i="2"/>
  <c r="CY10" i="2" l="1"/>
  <c r="CZ10" i="2" s="1"/>
  <c r="CX11" i="2"/>
  <c r="F6" i="3"/>
  <c r="G6" i="3" s="1"/>
  <c r="C6" i="3"/>
  <c r="D6" i="3" s="1"/>
  <c r="D14" i="3" l="1"/>
  <c r="D13" i="3"/>
  <c r="C14" i="3"/>
  <c r="CY11" i="2"/>
  <c r="CZ11" i="2" s="1"/>
  <c r="CX12" i="2"/>
  <c r="C13" i="3"/>
  <c r="O19" i="3" l="1"/>
  <c r="C18" i="3"/>
  <c r="C17" i="3"/>
  <c r="O9" i="3"/>
  <c r="O7" i="3"/>
  <c r="O18" i="3"/>
  <c r="O17" i="3"/>
  <c r="O16" i="3"/>
  <c r="O15" i="3"/>
  <c r="O14" i="3"/>
  <c r="O13" i="3"/>
  <c r="O12" i="3"/>
  <c r="O11" i="3"/>
  <c r="O10" i="3"/>
  <c r="O8" i="3"/>
  <c r="O6" i="3"/>
  <c r="O5" i="3"/>
  <c r="C16" i="3"/>
  <c r="P5" i="3"/>
  <c r="P14" i="3"/>
  <c r="P11" i="3"/>
  <c r="P7" i="3"/>
  <c r="P16" i="3"/>
  <c r="P6" i="3"/>
  <c r="P19" i="3"/>
  <c r="P13" i="3"/>
  <c r="P18" i="3"/>
  <c r="D18" i="3"/>
  <c r="P10" i="3"/>
  <c r="P15" i="3"/>
  <c r="P12" i="3"/>
  <c r="P9" i="3"/>
  <c r="P17" i="3"/>
  <c r="D17" i="3"/>
  <c r="P8" i="3"/>
  <c r="D16" i="3"/>
  <c r="CY12" i="2"/>
  <c r="CZ12" i="2" s="1"/>
  <c r="CX13" i="2"/>
  <c r="D19" i="3" l="1"/>
  <c r="D20" i="3" s="1"/>
  <c r="C19" i="3"/>
  <c r="C20" i="3" s="1"/>
  <c r="CY13" i="2"/>
  <c r="CZ13" i="2" s="1"/>
  <c r="CX14" i="2"/>
  <c r="CX15" i="2" l="1"/>
  <c r="CY14" i="2"/>
  <c r="CZ14" i="2" s="1"/>
  <c r="CX16" i="2" l="1"/>
  <c r="CY15" i="2"/>
  <c r="CZ15" i="2" s="1"/>
  <c r="CX17" i="2" l="1"/>
  <c r="CY16" i="2"/>
  <c r="CZ16" i="2" s="1"/>
  <c r="CY17" i="2" l="1"/>
  <c r="CZ17" i="2" s="1"/>
  <c r="CX18" i="2"/>
  <c r="CX19" i="2" l="1"/>
  <c r="CY18" i="2"/>
  <c r="CZ18" i="2" s="1"/>
  <c r="CX20" i="2" l="1"/>
  <c r="CY19" i="2"/>
  <c r="CZ19" i="2" s="1"/>
  <c r="CY20" i="2" l="1"/>
  <c r="CZ20" i="2" s="1"/>
  <c r="CX21" i="2"/>
  <c r="CY21" i="2" l="1"/>
  <c r="CZ21" i="2" s="1"/>
  <c r="CX22" i="2"/>
  <c r="CX23" i="2" l="1"/>
  <c r="CY22" i="2"/>
  <c r="CZ22" i="2" s="1"/>
  <c r="CY23" i="2" l="1"/>
  <c r="CZ23" i="2" s="1"/>
  <c r="CX24" i="2"/>
  <c r="CY24" i="2" l="1"/>
  <c r="CZ24" i="2" s="1"/>
  <c r="CX25" i="2"/>
  <c r="CX26" i="2" l="1"/>
  <c r="CY25" i="2"/>
  <c r="CZ25" i="2" s="1"/>
  <c r="CX27" i="2" l="1"/>
  <c r="CY26" i="2"/>
  <c r="CZ26" i="2" s="1"/>
  <c r="CX28" i="2" l="1"/>
  <c r="CY27" i="2"/>
  <c r="CZ27" i="2" s="1"/>
  <c r="CX29" i="2" l="1"/>
  <c r="CY28" i="2"/>
  <c r="CZ28" i="2" s="1"/>
  <c r="CX30" i="2" l="1"/>
  <c r="CY29" i="2"/>
  <c r="CZ29" i="2" s="1"/>
  <c r="CY30" i="2" l="1"/>
  <c r="CZ30" i="2" s="1"/>
  <c r="CX31" i="2"/>
  <c r="CY31" i="2" l="1"/>
  <c r="CZ31" i="2" s="1"/>
  <c r="CX32" i="2"/>
  <c r="CY32" i="2" l="1"/>
  <c r="CZ32" i="2" s="1"/>
  <c r="CX33" i="2"/>
  <c r="CX34" i="2" l="1"/>
  <c r="CY33" i="2"/>
  <c r="CZ33" i="2" s="1"/>
  <c r="CY34" i="2" l="1"/>
  <c r="CZ34" i="2" s="1"/>
  <c r="CX35" i="2"/>
  <c r="CX36" i="2" l="1"/>
  <c r="CY35" i="2"/>
  <c r="CZ35" i="2" s="1"/>
  <c r="CX37" i="2" l="1"/>
  <c r="CY36" i="2"/>
  <c r="CZ36" i="2" s="1"/>
  <c r="CY37" i="2" l="1"/>
  <c r="CZ37" i="2" s="1"/>
  <c r="CX38" i="2"/>
  <c r="CX39" i="2" l="1"/>
  <c r="CY38" i="2"/>
  <c r="CZ38" i="2" s="1"/>
  <c r="CY39" i="2" l="1"/>
  <c r="CZ39" i="2" s="1"/>
  <c r="CX40" i="2"/>
  <c r="CY40" i="2" l="1"/>
  <c r="CZ40" i="2" s="1"/>
  <c r="CX41" i="2"/>
  <c r="CX42" i="2" l="1"/>
  <c r="CY41" i="2"/>
  <c r="CZ41" i="2" s="1"/>
  <c r="CX43" i="2" l="1"/>
  <c r="CY42" i="2"/>
  <c r="CZ42" i="2" s="1"/>
  <c r="CX44" i="2" l="1"/>
  <c r="CY43" i="2"/>
  <c r="CZ43" i="2" s="1"/>
  <c r="CX45" i="2" l="1"/>
  <c r="CY44" i="2"/>
  <c r="CZ44" i="2" s="1"/>
  <c r="CX46" i="2" l="1"/>
  <c r="CY45" i="2"/>
  <c r="CZ45" i="2" s="1"/>
  <c r="CY46" i="2" l="1"/>
  <c r="CZ46" i="2" s="1"/>
  <c r="CX47" i="2"/>
  <c r="CY47" i="2" l="1"/>
  <c r="CZ47" i="2" s="1"/>
  <c r="CX48" i="2"/>
  <c r="CY48" i="2" l="1"/>
  <c r="CZ48" i="2" s="1"/>
  <c r="CX49" i="2"/>
  <c r="CX50" i="2" l="1"/>
  <c r="CY49" i="2"/>
  <c r="CZ49" i="2" s="1"/>
  <c r="CX51" i="2" l="1"/>
  <c r="CY50" i="2"/>
  <c r="CZ50" i="2" s="1"/>
  <c r="CX52" i="2" l="1"/>
  <c r="CY51" i="2"/>
  <c r="CZ51" i="2" s="1"/>
  <c r="CX53" i="2" l="1"/>
  <c r="CY52" i="2"/>
  <c r="CZ52" i="2" s="1"/>
  <c r="CY53" i="2" l="1"/>
  <c r="CZ53" i="2" s="1"/>
  <c r="CX54" i="2"/>
  <c r="CX55" i="2" l="1"/>
  <c r="CY54" i="2"/>
  <c r="CZ54" i="2" s="1"/>
  <c r="CY55" i="2" l="1"/>
  <c r="CZ55" i="2" s="1"/>
  <c r="CX56" i="2"/>
  <c r="CY56" i="2" l="1"/>
  <c r="CZ56" i="2" s="1"/>
  <c r="CX57" i="2"/>
  <c r="CY57" i="2" l="1"/>
  <c r="CZ57" i="2" s="1"/>
  <c r="CX58" i="2"/>
  <c r="CX59" i="2" l="1"/>
  <c r="CY58" i="2"/>
  <c r="CZ58" i="2" s="1"/>
  <c r="CX60" i="2" l="1"/>
  <c r="CY59" i="2"/>
  <c r="CZ59" i="2" s="1"/>
  <c r="CX61" i="2" l="1"/>
  <c r="CY60" i="2"/>
  <c r="CZ60" i="2" s="1"/>
  <c r="CX62" i="2" l="1"/>
  <c r="CY61" i="2"/>
  <c r="CZ61" i="2" s="1"/>
  <c r="CY62" i="2" l="1"/>
  <c r="CZ62" i="2" s="1"/>
  <c r="CX63" i="2"/>
  <c r="CY63" i="2" l="1"/>
  <c r="CZ63" i="2" s="1"/>
  <c r="CX64" i="2"/>
  <c r="CY64" i="2" l="1"/>
  <c r="CZ64" i="2" s="1"/>
  <c r="CX65" i="2"/>
  <c r="CX66" i="2" l="1"/>
  <c r="CY65" i="2"/>
  <c r="CZ65" i="2" s="1"/>
  <c r="CY66" i="2" l="1"/>
  <c r="CZ66" i="2" s="1"/>
  <c r="CX67" i="2"/>
  <c r="CX68" i="2" l="1"/>
  <c r="CY67" i="2"/>
  <c r="CZ67" i="2" s="1"/>
  <c r="CX69" i="2" l="1"/>
  <c r="CY68" i="2"/>
  <c r="CZ68" i="2" s="1"/>
  <c r="CY69" i="2" l="1"/>
  <c r="CZ69" i="2" s="1"/>
  <c r="CX70" i="2"/>
  <c r="CX71" i="2" l="1"/>
  <c r="CY70" i="2"/>
  <c r="CZ70" i="2" s="1"/>
  <c r="CY71" i="2" l="1"/>
  <c r="CZ71" i="2" s="1"/>
  <c r="CX72" i="2"/>
  <c r="CX73" i="2" l="1"/>
  <c r="CY72" i="2"/>
  <c r="CZ72" i="2" s="1"/>
  <c r="CX74" i="2" l="1"/>
  <c r="CY73" i="2"/>
  <c r="CZ73" i="2" s="1"/>
  <c r="CY74" i="2" l="1"/>
  <c r="CZ74" i="2" s="1"/>
  <c r="CX75" i="2"/>
  <c r="CX76" i="2" l="1"/>
  <c r="CY75" i="2"/>
  <c r="CZ75" i="2" s="1"/>
  <c r="CY76" i="2" l="1"/>
  <c r="CZ76" i="2" s="1"/>
  <c r="CX77" i="2"/>
  <c r="CY77" i="2" l="1"/>
  <c r="CZ77" i="2" s="1"/>
  <c r="CX78" i="2"/>
  <c r="CX79" i="2" l="1"/>
  <c r="CY78" i="2"/>
  <c r="CZ78" i="2" s="1"/>
  <c r="CY79" i="2" l="1"/>
  <c r="CZ79" i="2" s="1"/>
  <c r="CX80" i="2"/>
  <c r="CX81" i="2" l="1"/>
  <c r="CY80" i="2"/>
  <c r="CZ80" i="2" s="1"/>
  <c r="CX82" i="2" l="1"/>
  <c r="CY81" i="2"/>
  <c r="CZ81" i="2" s="1"/>
  <c r="CY82" i="2" l="1"/>
  <c r="CZ82" i="2" s="1"/>
  <c r="CX83" i="2"/>
  <c r="CX84" i="2" l="1"/>
  <c r="CY83" i="2"/>
  <c r="CZ83" i="2" s="1"/>
  <c r="CY84" i="2" l="1"/>
  <c r="CZ84" i="2" s="1"/>
  <c r="CX85" i="2"/>
  <c r="CY85" i="2" l="1"/>
  <c r="CZ85" i="2" s="1"/>
  <c r="CX86" i="2"/>
  <c r="CX87" i="2" l="1"/>
  <c r="CY86" i="2"/>
  <c r="CZ86" i="2" s="1"/>
  <c r="CY87" i="2" l="1"/>
  <c r="CZ87" i="2" s="1"/>
  <c r="CX88" i="2"/>
  <c r="CX89" i="2" l="1"/>
  <c r="CY88" i="2"/>
  <c r="CZ88" i="2" s="1"/>
  <c r="CX90" i="2" l="1"/>
  <c r="CY89" i="2"/>
  <c r="CZ89" i="2" s="1"/>
  <c r="CY90" i="2" l="1"/>
  <c r="CZ90" i="2" s="1"/>
  <c r="CX91" i="2"/>
  <c r="CX92" i="2" l="1"/>
  <c r="CY91" i="2"/>
  <c r="CZ91" i="2" s="1"/>
  <c r="CY92" i="2" l="1"/>
  <c r="CZ92" i="2" s="1"/>
  <c r="CX93" i="2"/>
  <c r="CY93" i="2" l="1"/>
  <c r="CZ93" i="2" s="1"/>
  <c r="CX94" i="2"/>
  <c r="CX95" i="2" l="1"/>
  <c r="CY94" i="2"/>
  <c r="CZ94" i="2" s="1"/>
  <c r="CY95" i="2" l="1"/>
  <c r="CZ95" i="2" s="1"/>
  <c r="CX96" i="2"/>
  <c r="CX97" i="2" l="1"/>
  <c r="CY96" i="2"/>
  <c r="CZ96" i="2" s="1"/>
  <c r="CX98" i="2" l="1"/>
  <c r="CY97" i="2"/>
  <c r="CZ97" i="2" s="1"/>
  <c r="CY98" i="2" l="1"/>
  <c r="CZ98" i="2" s="1"/>
  <c r="CX99" i="2"/>
  <c r="CX100" i="2" l="1"/>
  <c r="CY99" i="2"/>
  <c r="CZ99" i="2" s="1"/>
  <c r="CY100" i="2" l="1"/>
  <c r="CZ100" i="2" s="1"/>
  <c r="CX101" i="2"/>
  <c r="CX102" i="2" l="1"/>
  <c r="CY101" i="2"/>
  <c r="CZ101" i="2" s="1"/>
  <c r="CY102" i="2" l="1"/>
  <c r="CZ102" i="2" s="1"/>
  <c r="DA2" i="2" l="1"/>
  <c r="L9" i="3" s="1"/>
  <c r="DC2" i="2"/>
  <c r="B18" i="2" l="1"/>
  <c r="DB2" i="2"/>
  <c r="AS9" i="2"/>
  <c r="AS12" i="2"/>
  <c r="AS4" i="2"/>
  <c r="AS13" i="2"/>
  <c r="AS7" i="2"/>
  <c r="AS10" i="2"/>
  <c r="AS5" i="2"/>
  <c r="AS8" i="2"/>
  <c r="AS3" i="2"/>
  <c r="AS6" i="2"/>
  <c r="AS11" i="2"/>
  <c r="AS2" i="2"/>
  <c r="AW9" i="2" l="1"/>
  <c r="BF9" i="2" s="1"/>
  <c r="L10" i="3"/>
  <c r="AW7" i="2"/>
  <c r="AY4" i="2"/>
  <c r="AY8" i="2"/>
  <c r="AW12" i="2"/>
  <c r="AW6" i="2"/>
  <c r="AW13" i="2"/>
  <c r="AY9" i="2"/>
  <c r="AW10" i="2"/>
  <c r="AW5" i="2"/>
  <c r="AY13" i="2"/>
  <c r="AY12" i="2"/>
  <c r="AW8" i="2"/>
  <c r="AY10" i="2"/>
  <c r="AY5" i="2"/>
  <c r="AZ5" i="2" s="1"/>
  <c r="B19" i="2"/>
  <c r="AU9" i="2"/>
  <c r="AU12" i="2"/>
  <c r="AU10" i="2"/>
  <c r="AU5" i="2"/>
  <c r="AU7" i="2"/>
  <c r="AU6" i="2"/>
  <c r="AU8" i="2"/>
  <c r="AU3" i="2"/>
  <c r="AU2" i="2"/>
  <c r="AU4" i="2"/>
  <c r="AU11" i="2"/>
  <c r="AU13" i="2"/>
  <c r="AY6" i="2"/>
  <c r="AW3" i="2"/>
  <c r="AY11" i="2"/>
  <c r="AY2" i="2"/>
  <c r="AW4" i="2"/>
  <c r="AW2" i="2"/>
  <c r="AW11" i="2"/>
  <c r="AY7" i="2"/>
  <c r="AZ7" i="2" s="1"/>
  <c r="AY3" i="2"/>
  <c r="BD9" i="2" l="1"/>
  <c r="BI9" i="2" s="1"/>
  <c r="AZ6" i="2"/>
  <c r="AX2" i="2"/>
  <c r="AZ10" i="2"/>
  <c r="AZ3" i="2"/>
  <c r="AZ12" i="2"/>
  <c r="AZ8" i="2"/>
  <c r="AZ4" i="2"/>
  <c r="AX9" i="2"/>
  <c r="AZ9" i="2"/>
  <c r="AZ2" i="2"/>
  <c r="AZ13" i="2"/>
  <c r="AZ11" i="2"/>
  <c r="BF13" i="2"/>
  <c r="AX13" i="2"/>
  <c r="BF6" i="2"/>
  <c r="AX6" i="2"/>
  <c r="BD3" i="2"/>
  <c r="BI3" i="2" s="1"/>
  <c r="AX3" i="2"/>
  <c r="BD12" i="2"/>
  <c r="BI12" i="2" s="1"/>
  <c r="AX12" i="2"/>
  <c r="BF4" i="2"/>
  <c r="AX4" i="2"/>
  <c r="BF11" i="2"/>
  <c r="AX11" i="2"/>
  <c r="BD8" i="2"/>
  <c r="BI8" i="2" s="1"/>
  <c r="AX8" i="2"/>
  <c r="BD5" i="2"/>
  <c r="BI5" i="2" s="1"/>
  <c r="AX5" i="2"/>
  <c r="BD7" i="2"/>
  <c r="BI7" i="2" s="1"/>
  <c r="AX7" i="2"/>
  <c r="BD10" i="2"/>
  <c r="BI10" i="2" s="1"/>
  <c r="AX10" i="2"/>
  <c r="BF2" i="2"/>
  <c r="AT6" i="2"/>
  <c r="AV6" i="2"/>
  <c r="AT13" i="2"/>
  <c r="AV13" i="2"/>
  <c r="AT10" i="2"/>
  <c r="AV10" i="2"/>
  <c r="AT7" i="2"/>
  <c r="AV7" i="2"/>
  <c r="AT5" i="2"/>
  <c r="AV5" i="2"/>
  <c r="AT12" i="2"/>
  <c r="AV12" i="2"/>
  <c r="AT3" i="2"/>
  <c r="AV3" i="2"/>
  <c r="AT11" i="2"/>
  <c r="AV11" i="2"/>
  <c r="AT4" i="2"/>
  <c r="AV4" i="2"/>
  <c r="AT2" i="2"/>
  <c r="AV2" i="2"/>
  <c r="BF7" i="2"/>
  <c r="BE8" i="2"/>
  <c r="BJ8" i="2" s="1"/>
  <c r="BE4" i="2"/>
  <c r="BJ4" i="2" s="1"/>
  <c r="CO2" i="2" s="1"/>
  <c r="BF12" i="2"/>
  <c r="BE9" i="2"/>
  <c r="BJ9" i="2" s="1"/>
  <c r="BK9" i="2" s="1"/>
  <c r="BD6" i="2"/>
  <c r="BI6" i="2" s="1"/>
  <c r="BD13" i="2"/>
  <c r="BI13" i="2" s="1"/>
  <c r="BE10" i="2"/>
  <c r="BG10" i="2" s="1"/>
  <c r="BE12" i="2"/>
  <c r="BJ12" i="2" s="1"/>
  <c r="BF10" i="2"/>
  <c r="BF8" i="2"/>
  <c r="BF5" i="2"/>
  <c r="BE13" i="2"/>
  <c r="BG13" i="2" s="1"/>
  <c r="BE11" i="2"/>
  <c r="BG11" i="2" s="1"/>
  <c r="BE5" i="2"/>
  <c r="BG5" i="2" s="1"/>
  <c r="BD4" i="2"/>
  <c r="BI4" i="2" s="1"/>
  <c r="CN2" i="2" s="1"/>
  <c r="BE3" i="2"/>
  <c r="BG3" i="2" s="1"/>
  <c r="BD11" i="2"/>
  <c r="BI11" i="2" s="1"/>
  <c r="BE6" i="2"/>
  <c r="BE7" i="2"/>
  <c r="BD2" i="2"/>
  <c r="BI2" i="2" s="1"/>
  <c r="BF3" i="2"/>
  <c r="BE2" i="2"/>
  <c r="BH13" i="2" l="1"/>
  <c r="BH11" i="2"/>
  <c r="BK8" i="2"/>
  <c r="BK12" i="2"/>
  <c r="BG8" i="2"/>
  <c r="BH8" i="2" s="1"/>
  <c r="BG4" i="2"/>
  <c r="BH4" i="2" s="1"/>
  <c r="CM2" i="2" s="1"/>
  <c r="BG9" i="2"/>
  <c r="BH9" i="2" s="1"/>
  <c r="BG12" i="2"/>
  <c r="BH12" i="2" s="1"/>
  <c r="BH10" i="2"/>
  <c r="BJ10" i="2"/>
  <c r="BK10" i="2" s="1"/>
  <c r="BH5" i="2"/>
  <c r="BJ13" i="2"/>
  <c r="BK13" i="2" s="1"/>
  <c r="BJ3" i="2"/>
  <c r="BK3" i="2" s="1"/>
  <c r="BJ11" i="2"/>
  <c r="BK11" i="2" s="1"/>
  <c r="BJ5" i="2"/>
  <c r="BK5" i="2" s="1"/>
  <c r="BJ2" i="2"/>
  <c r="BK2" i="2" s="1"/>
  <c r="BG2" i="2"/>
  <c r="BH2" i="2" s="1"/>
  <c r="BJ7" i="2"/>
  <c r="BK7" i="2" s="1"/>
  <c r="BG7" i="2"/>
  <c r="BH7" i="2" s="1"/>
  <c r="BK4" i="2"/>
  <c r="CP2" i="2" s="1"/>
  <c r="BH3" i="2"/>
  <c r="CN16" i="2"/>
  <c r="CN17" i="2"/>
  <c r="CN15" i="2"/>
  <c r="CN12" i="2"/>
  <c r="CN14" i="2"/>
  <c r="CN10" i="2"/>
  <c r="CN9" i="2"/>
  <c r="CN8" i="2"/>
  <c r="CN7" i="2"/>
  <c r="CN13" i="2"/>
  <c r="CN11" i="2"/>
  <c r="CN6" i="2"/>
  <c r="CN5" i="2"/>
  <c r="CN4" i="2"/>
  <c r="CN3" i="2"/>
  <c r="BG6" i="2"/>
  <c r="BH6" i="2" s="1"/>
  <c r="BJ6" i="2"/>
  <c r="BK6" i="2" s="1"/>
  <c r="C7" i="3" l="1"/>
  <c r="D7" i="3" s="1"/>
  <c r="CM16" i="2"/>
  <c r="CM10" i="2"/>
  <c r="CM9" i="2"/>
  <c r="CM8" i="2"/>
  <c r="CM7" i="2"/>
  <c r="CM15" i="2"/>
  <c r="CM17" i="2"/>
  <c r="CM13" i="2"/>
  <c r="CM12" i="2"/>
  <c r="CM11" i="2"/>
  <c r="CM14" i="2"/>
  <c r="CM6" i="2"/>
  <c r="CM5" i="2"/>
  <c r="CM4" i="2"/>
  <c r="CM3" i="2"/>
  <c r="F7" i="3"/>
  <c r="G7" i="3" s="1"/>
  <c r="CP14" i="2"/>
  <c r="CP13" i="2"/>
  <c r="CP16" i="2"/>
  <c r="CP15" i="2"/>
  <c r="CP12" i="2"/>
  <c r="CP11" i="2"/>
  <c r="CP6" i="2"/>
  <c r="CP17" i="2"/>
  <c r="CP10" i="2"/>
  <c r="CP9" i="2"/>
  <c r="CP8" i="2"/>
  <c r="CP7" i="2"/>
  <c r="CP5" i="2"/>
  <c r="CP4" i="2"/>
  <c r="CP3" i="2"/>
  <c r="CO17" i="2"/>
  <c r="CO13" i="2"/>
  <c r="CO12" i="2"/>
  <c r="CO11" i="2"/>
  <c r="CO14" i="2"/>
  <c r="CO16" i="2"/>
  <c r="CO6" i="2"/>
  <c r="CO15" i="2"/>
  <c r="CO5" i="2"/>
  <c r="CO10" i="2"/>
  <c r="CO9" i="2"/>
  <c r="CO4" i="2"/>
  <c r="CO8" i="2"/>
  <c r="CO7" i="2"/>
  <c r="CO3" i="2"/>
  <c r="F14" i="3" l="1"/>
  <c r="E14" i="3"/>
  <c r="F13" i="3"/>
  <c r="E13" i="3"/>
  <c r="Q18" i="3" l="1"/>
  <c r="Q17" i="3"/>
  <c r="Q16" i="3"/>
  <c r="Q15" i="3"/>
  <c r="Q14" i="3"/>
  <c r="Q13" i="3"/>
  <c r="Q12" i="3"/>
  <c r="Q11" i="3"/>
  <c r="Q10" i="3"/>
  <c r="Q8" i="3"/>
  <c r="Q6" i="3"/>
  <c r="Q5" i="3"/>
  <c r="Q7" i="3"/>
  <c r="Q19" i="3"/>
  <c r="E18" i="3"/>
  <c r="Q9" i="3"/>
  <c r="E17" i="3"/>
  <c r="E16" i="3"/>
  <c r="R18" i="3"/>
  <c r="R17" i="3"/>
  <c r="R16" i="3"/>
  <c r="R15" i="3"/>
  <c r="R14" i="3"/>
  <c r="R13" i="3"/>
  <c r="R12" i="3"/>
  <c r="R11" i="3"/>
  <c r="R10" i="3"/>
  <c r="R8" i="3"/>
  <c r="R6" i="3"/>
  <c r="R19" i="3"/>
  <c r="F18" i="3"/>
  <c r="F17" i="3"/>
  <c r="R9" i="3"/>
  <c r="R7" i="3"/>
  <c r="R5" i="3"/>
  <c r="F16" i="3"/>
  <c r="F19" i="3" l="1"/>
  <c r="F20" i="3" s="1"/>
  <c r="E19" i="3"/>
  <c r="E2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weifang</author>
  </authors>
  <commentList>
    <comment ref="L3" authorId="0" shapeId="0" xr:uid="{417384DD-F1B2-4AC4-AB3E-1B37571C8DE1}">
      <text>
        <r>
          <rPr>
            <b/>
            <sz val="9"/>
            <color indexed="81"/>
            <rFont val="細明體"/>
            <family val="3"/>
            <charset val="136"/>
          </rPr>
          <t>此處不用熱泵</t>
        </r>
      </text>
    </comment>
    <comment ref="N3" authorId="0" shapeId="0" xr:uid="{203C802B-0010-4A47-B05F-FDFE7A1AFE59}">
      <text>
        <r>
          <rPr>
            <b/>
            <sz val="9"/>
            <color indexed="81"/>
            <rFont val="細明體"/>
            <family val="3"/>
            <charset val="136"/>
          </rPr>
          <t>此處不用熱泵</t>
        </r>
      </text>
    </comment>
    <comment ref="H4" authorId="0" shapeId="0" xr:uid="{5C420615-1480-475B-A646-374111D92593}">
      <text>
        <r>
          <rPr>
            <sz val="9"/>
            <color indexed="81"/>
            <rFont val="細明體"/>
            <family val="3"/>
            <charset val="136"/>
          </rPr>
          <t>此處不用鍋爐</t>
        </r>
      </text>
    </comment>
    <comment ref="J4" authorId="0" shapeId="0" xr:uid="{1F524E93-C3BF-4407-AAAB-C3CB3E7369E8}">
      <text>
        <r>
          <rPr>
            <sz val="9"/>
            <color indexed="81"/>
            <rFont val="細明體"/>
            <family val="3"/>
            <charset val="136"/>
          </rPr>
          <t>此處不用鍋爐</t>
        </r>
      </text>
    </comment>
  </commentList>
</comments>
</file>

<file path=xl/sharedStrings.xml><?xml version="1.0" encoding="utf-8"?>
<sst xmlns="http://schemas.openxmlformats.org/spreadsheetml/2006/main" count="412" uniqueCount="307">
  <si>
    <t>專案與環境設定</t>
  </si>
  <si>
    <t>能源、設計與 Hybrid 參數</t>
  </si>
  <si>
    <t>三情境設備選型+第四情境(加熱成本最小化)</t>
  </si>
  <si>
    <t>代表都市</t>
  </si>
  <si>
    <t>Harbin 哈爾濱</t>
  </si>
  <si>
    <t>Solar Gain 占比</t>
  </si>
  <si>
    <t>情境</t>
  </si>
  <si>
    <t>鍋爐1型號</t>
  </si>
  <si>
    <t>鍋爐1台數</t>
  </si>
  <si>
    <t>鍋爐2型號</t>
  </si>
  <si>
    <t>鍋爐2台數</t>
  </si>
  <si>
    <t>熱泵1型號</t>
  </si>
  <si>
    <t>熱泵1台數</t>
  </si>
  <si>
    <t>熱泵2型號</t>
  </si>
  <si>
    <t>熱泵2台數</t>
  </si>
  <si>
    <t>鍋爐總容量(kW)</t>
  </si>
  <si>
    <t>熱泵總容量(kW)</t>
  </si>
  <si>
    <t>設備價(元)</t>
  </si>
  <si>
    <t>鍋爐效率</t>
  </si>
  <si>
    <t>HP 額定COP</t>
  </si>
  <si>
    <t>設計需求(kW)</t>
  </si>
  <si>
    <t>可用加熱能力(kW)</t>
  </si>
  <si>
    <t>不足量(kW)</t>
  </si>
  <si>
    <t>鍋爐負荷占比</t>
  </si>
  <si>
    <t>熱泵負荷占比</t>
  </si>
  <si>
    <t>總覆蓋率</t>
  </si>
  <si>
    <t>能力評估</t>
  </si>
  <si>
    <t>日間設定溫度 (°C)</t>
  </si>
  <si>
    <t>Heat Pump 占比</t>
  </si>
  <si>
    <t>Boiler-only</t>
  </si>
  <si>
    <t>熱水鍋爐-800</t>
  </si>
  <si>
    <t>配比建議</t>
  </si>
  <si>
    <t>夜間設定溫度 (°C)</t>
  </si>
  <si>
    <t>Boiler 占比（自動）</t>
  </si>
  <si>
    <t>HP-only</t>
  </si>
  <si>
    <t>熱泵-600</t>
  </si>
  <si>
    <t>CO2熱泵-100</t>
  </si>
  <si>
    <t>所在地緯度 (°)</t>
  </si>
  <si>
    <t>日間電價 (元/kWh)</t>
  </si>
  <si>
    <t>Hybrid</t>
  </si>
  <si>
    <t>熱水鍋爐-300</t>
  </si>
  <si>
    <t>熱泵-400</t>
  </si>
  <si>
    <t>電網排放係數 (kg-CO2/kWh)</t>
  </si>
  <si>
    <t>夜間電價 (元/kWh)</t>
  </si>
  <si>
    <t>Hybrid_OPT</t>
  </si>
  <si>
    <t>燃料選項</t>
  </si>
  <si>
    <t>Natural Gas 天然氣</t>
  </si>
  <si>
    <t>燃料成本 (元/kWh_fuel)</t>
  </si>
  <si>
    <t>圍護與熱結構</t>
  </si>
  <si>
    <t>地板面積 (m²)</t>
  </si>
  <si>
    <t>設計容量安全係數</t>
  </si>
  <si>
    <t>屋頂面積 (m²)</t>
  </si>
  <si>
    <t>熱泵低溫有效容量係數</t>
  </si>
  <si>
    <t>側牆面積 (m²)</t>
  </si>
  <si>
    <t>夜間正規化 HP 分攤率</t>
  </si>
  <si>
    <t>屋頂構造</t>
  </si>
  <si>
    <t>單層 PE 膠膜</t>
  </si>
  <si>
    <t>夜間正規化 Boiler 分攤率</t>
  </si>
  <si>
    <t>側牆構造</t>
  </si>
  <si>
    <t>COP 參考外氣溫度 (°C)</t>
  </si>
  <si>
    <t>屋頂 U值 (W/m²·K)</t>
  </si>
  <si>
    <t>COP 斜率 (每°C)</t>
  </si>
  <si>
    <t>側牆 U值 (W/m²·K)</t>
  </si>
  <si>
    <t>COP 上限倍率</t>
  </si>
  <si>
    <t>UA值 (W/K)</t>
  </si>
  <si>
    <t>COP 下限倍率</t>
  </si>
  <si>
    <t>折現率</t>
  </si>
  <si>
    <t>設備壽命(年)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</si>
  <si>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</si>
  <si>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</si>
  <si>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</si>
  <si>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</si>
  <si>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</si>
  <si>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</si>
  <si>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</si>
  <si>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</si>
  <si>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</si>
  <si>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</si>
  <si>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</si>
  <si>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</si>
  <si>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月份</t>
  </si>
  <si>
    <t>天數</t>
  </si>
  <si>
    <t>日長(h)</t>
  </si>
  <si>
    <t>夜長(h)</t>
  </si>
  <si>
    <t>日ΔT(K)</t>
  </si>
  <si>
    <t>夜ΔT(K)</t>
  </si>
  <si>
    <t>日熱負荷(kWh/月)</t>
  </si>
  <si>
    <t>夜熱負荷(kWh/月)</t>
  </si>
  <si>
    <t>Solar可抵減(kWh/月)</t>
  </si>
  <si>
    <t>需供熱-日(kWh/月)</t>
  </si>
  <si>
    <t>需供熱-夜(kWh/月)</t>
  </si>
  <si>
    <t>日HP負荷(kWh/月)</t>
  </si>
  <si>
    <t>日Boiler負荷(kWh/月)</t>
  </si>
  <si>
    <t>夜HP負荷(kWh/月)</t>
  </si>
  <si>
    <t>夜Boiler負荷(kWh/月)</t>
  </si>
  <si>
    <t>額定COP</t>
  </si>
  <si>
    <t>日COP</t>
  </si>
  <si>
    <t>夜COP</t>
  </si>
  <si>
    <t>HP用電(kWh/月)</t>
  </si>
  <si>
    <t>Boiler燃料(kWh_fuel/月)</t>
  </si>
  <si>
    <t>電費(元/月)</t>
  </si>
  <si>
    <t>燃料費(元/月)</t>
  </si>
  <si>
    <t>總成本(元/月)</t>
  </si>
  <si>
    <t>Boiler-only 額定效率</t>
  </si>
  <si>
    <t>Boiler-only 燃料(kWh_fuel/月)</t>
  </si>
  <si>
    <t>Boiler-only 成本(元/月)</t>
  </si>
  <si>
    <t>Boiler-only 直接排放(kg-CO2/月)</t>
  </si>
  <si>
    <t>Boiler-only 總排放(kg-CO2/月)</t>
  </si>
  <si>
    <t>HP-only 額定COP</t>
  </si>
  <si>
    <t>HP-only 日COP</t>
  </si>
  <si>
    <t>HP-only 夜COP</t>
  </si>
  <si>
    <t>HP-only 用電(kWh/月)</t>
  </si>
  <si>
    <t>HP-only 成本(元/月)</t>
  </si>
  <si>
    <t>HP-only 電力排放(kg-CO2/月)</t>
  </si>
  <si>
    <t>HP-only 總排放(kg-CO2/月)</t>
  </si>
  <si>
    <t>Hybrid HP 額定COP</t>
  </si>
  <si>
    <t>Hybrid 日COP</t>
  </si>
  <si>
    <t>Hybrid 夜COP</t>
  </si>
  <si>
    <t>Hybrid 用電(kWh/月)</t>
  </si>
  <si>
    <t>Hybrid 電力排放(kg-CO2/月)</t>
  </si>
  <si>
    <t>Hybrid 鍋爐直接排放(kg-CO2/月)</t>
  </si>
  <si>
    <t>Hybrid 總排放(kg-CO2/月)</t>
  </si>
  <si>
    <t>Hybrid_OPT 日HP負荷(kWh/月)</t>
  </si>
  <si>
    <t>Hybrid_OPT 日Boiler負荷(kWh/月)</t>
  </si>
  <si>
    <t>Hybrid_OPT 夜HP負荷(kWh/月)</t>
  </si>
  <si>
    <t>Hybrid_OPT 夜Boiler負荷(kWh/月)</t>
  </si>
  <si>
    <t>Hybrid_OPT 額定COP</t>
  </si>
  <si>
    <t>Hybrid_OPT 日COP</t>
  </si>
  <si>
    <t>Hybrid_OPT 夜COP</t>
  </si>
  <si>
    <t>Hybrid_OPT 用電(kWh/月)</t>
  </si>
  <si>
    <t>Hybrid_OPT Boiler燃料(kWh_fuel/月)</t>
  </si>
  <si>
    <t>Hybrid_OPT 電費(元/月)</t>
  </si>
  <si>
    <t>Hybrid_OPT 燃料費(元/月)</t>
  </si>
  <si>
    <t>Hybrid_OPT 總成本(元/月)</t>
  </si>
  <si>
    <t>Hybrid_OPT 電力排放(kg-CO2/月)</t>
  </si>
  <si>
    <t>Hybrid_OPT 鍋爐直接排放(kg-CO2/月)</t>
  </si>
  <si>
    <t>Hybrid_OPT 總排放(kg-CO2/月)</t>
  </si>
  <si>
    <t>Year</t>
  </si>
  <si>
    <t>Hybrid vs Boiler CF</t>
  </si>
  <si>
    <t>Hybrid vs HP-only CF</t>
  </si>
  <si>
    <t>Hybrid_OPT vs Boiler CF</t>
  </si>
  <si>
    <t>Hybrid_OPT vs HP-only CF</t>
  </si>
  <si>
    <t>HP share candidate</t>
  </si>
  <si>
    <t>Boiler share</t>
  </si>
  <si>
    <t>Annual cost</t>
  </si>
  <si>
    <t>OPT_HP_share</t>
  </si>
  <si>
    <t>OPT_Boiler_share</t>
  </si>
  <si>
    <t>OPT_Annual_Cost</t>
  </si>
  <si>
    <t>設計熱負荷(kW)</t>
  </si>
  <si>
    <t>最佳化 Solar share</t>
  </si>
  <si>
    <t>最佳化 HP share</t>
  </si>
  <si>
    <t>最佳化 Boiler share</t>
  </si>
  <si>
    <t>Cash Flow</t>
  </si>
  <si>
    <t>ROI</t>
  </si>
  <si>
    <t>IRR</t>
  </si>
  <si>
    <t>Dashboard</t>
  </si>
  <si>
    <t>index</t>
  </si>
  <si>
    <t>City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</si>
  <si>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</si>
  <si>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</si>
  <si>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</si>
  <si>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</si>
  <si>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</si>
  <si>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</si>
  <si>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</si>
  <si>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</si>
  <si>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</si>
  <si>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</si>
  <si>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</si>
  <si>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</si>
  <si>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Day_Offset</t>
  </si>
  <si>
    <t>Night_Offset</t>
  </si>
  <si>
    <t>Latitude</t>
  </si>
  <si>
    <t>Grid_EF_kgCO2_per_kWh</t>
  </si>
  <si>
    <t>Singapore 新加坡</t>
  </si>
  <si>
    <t>Bangkok 曼谷</t>
  </si>
  <si>
    <t>Beijing 北京</t>
  </si>
  <si>
    <t>Tokyo 東京</t>
  </si>
  <si>
    <t>Seoul 首爾</t>
  </si>
  <si>
    <t>London 倫敦</t>
  </si>
  <si>
    <t>Paris 巴黎</t>
  </si>
  <si>
    <t>Dubai 杜拜</t>
  </si>
  <si>
    <t>Sydney 雪梨</t>
  </si>
  <si>
    <t>Melbourne 墨爾本</t>
  </si>
  <si>
    <t>Vancouver 溫哥華</t>
  </si>
  <si>
    <t>Moscow 莫斯科</t>
  </si>
  <si>
    <t>Taipei 台北</t>
  </si>
  <si>
    <t>Taoyuan 桃園</t>
  </si>
  <si>
    <t>Hsinchu 新竹</t>
  </si>
  <si>
    <t>Taichung 台中</t>
  </si>
  <si>
    <t>Chiayi 嘉義</t>
  </si>
  <si>
    <t>Tainan 台南</t>
  </si>
  <si>
    <t>Kaohsiung 高雄</t>
  </si>
  <si>
    <t>Surface</t>
  </si>
  <si>
    <t>Construction</t>
  </si>
  <si>
    <t>U_value</t>
  </si>
  <si>
    <t>Note</t>
  </si>
  <si>
    <t>Roof</t>
  </si>
  <si>
    <t>常用單層膜</t>
  </si>
  <si>
    <t>雙層充氣 PE 膠膜</t>
  </si>
  <si>
    <t>雙層充氣膜</t>
  </si>
  <si>
    <t>雙層 PE + 保溫材料</t>
  </si>
  <si>
    <t>推估值；雙層PE再加內保溫</t>
  </si>
  <si>
    <t>單層 EVA 膠膜</t>
  </si>
  <si>
    <t>EVA膜</t>
  </si>
  <si>
    <t>雙層 EVA / PE 膠膜</t>
  </si>
  <si>
    <t>雙層膜</t>
  </si>
  <si>
    <t>單層玻璃</t>
  </si>
  <si>
    <t>雙層玻璃</t>
  </si>
  <si>
    <t>8 mm PC 雙層中空板</t>
  </si>
  <si>
    <t>較佳保溫</t>
  </si>
  <si>
    <t>16 mm PC 三層中空板</t>
  </si>
  <si>
    <t>高保溫</t>
  </si>
  <si>
    <t>PU 夾芯板</t>
  </si>
  <si>
    <t>高保溫圍護</t>
  </si>
  <si>
    <t>Wall</t>
  </si>
  <si>
    <t>Type</t>
  </si>
  <si>
    <t>Vendor</t>
  </si>
  <si>
    <t>Model</t>
  </si>
  <si>
    <t>Capacity_kW</t>
  </si>
  <si>
    <t>Unit_Cost_per_kW</t>
  </si>
  <si>
    <t>Equipment_Price</t>
  </si>
  <si>
    <t>Eff_or_RatedCOP</t>
  </si>
  <si>
    <t>Boiler_List</t>
  </si>
  <si>
    <t>HP_List</t>
  </si>
  <si>
    <t>Boiler</t>
  </si>
  <si>
    <t>志豪鍋爐</t>
  </si>
  <si>
    <t>熱水鍋爐代表值</t>
  </si>
  <si>
    <t>熱水鍋爐-500</t>
  </si>
  <si>
    <t>熱泵-200</t>
  </si>
  <si>
    <t>國產鍋爐</t>
  </si>
  <si>
    <t>熱水鍋爐-1200</t>
  </si>
  <si>
    <t>大型熱水鍋爐代表值</t>
  </si>
  <si>
    <t>HP</t>
  </si>
  <si>
    <t>Nippon / CO2</t>
  </si>
  <si>
    <t>低溫型 CO2 熱泵</t>
  </si>
  <si>
    <t>國產熱泵</t>
  </si>
  <si>
    <t>商用熱泵</t>
  </si>
  <si>
    <t>大型熱泵</t>
  </si>
  <si>
    <t>Fuel</t>
  </si>
  <si>
    <t>Unit_Price</t>
  </si>
  <si>
    <t>Unit</t>
  </si>
  <si>
    <t>LHV_kWh_per_unit</t>
  </si>
  <si>
    <t>Fuel_Cost_NTD_per_kWh_fuel</t>
  </si>
  <si>
    <t>CO2_kg_per_kWh_fuel</t>
  </si>
  <si>
    <t>元/Nm³</t>
  </si>
  <si>
    <t>kg-CO2/kWh_fuel</t>
  </si>
  <si>
    <t>LPG 液化石油氣</t>
  </si>
  <si>
    <t>元/kg</t>
  </si>
  <si>
    <t>Diesel 柴油</t>
  </si>
  <si>
    <t>元/L</t>
  </si>
  <si>
    <t>Fuel Oil 重油</t>
  </si>
  <si>
    <t>溫室加熱系統</t>
    <phoneticPr fontId="18" type="noConversion"/>
  </si>
  <si>
    <r>
      <rPr>
        <b/>
        <sz val="10"/>
        <rFont val="微軟正黑體"/>
        <family val="2"/>
        <charset val="136"/>
      </rPr>
      <t>燃料排放</t>
    </r>
    <r>
      <rPr>
        <b/>
        <sz val="10"/>
        <rFont val="Arial"/>
        <family val="2"/>
      </rPr>
      <t xml:space="preserve"> (kg-CO2/kWh_fuel)</t>
    </r>
    <phoneticPr fontId="18" type="noConversion"/>
  </si>
  <si>
    <t>單位</t>
    <phoneticPr fontId="18" type="noConversion"/>
  </si>
  <si>
    <r>
      <rPr>
        <b/>
        <sz val="11"/>
        <color rgb="FFFFFFFF"/>
        <rFont val="新細明體"/>
        <family val="1"/>
        <charset val="136"/>
      </rPr>
      <t>日</t>
    </r>
    <r>
      <rPr>
        <b/>
        <sz val="11"/>
        <color rgb="FFFFFFFF"/>
        <rFont val="Cambria"/>
        <family val="1"/>
      </rPr>
      <t>HP</t>
    </r>
    <r>
      <rPr>
        <b/>
        <sz val="11"/>
        <color rgb="FFFFFFFF"/>
        <rFont val="新細明體"/>
        <family val="1"/>
        <charset val="136"/>
      </rPr>
      <t>占比</t>
    </r>
    <phoneticPr fontId="18" type="noConversion"/>
  </si>
  <si>
    <t>日鍋爐占比</t>
    <phoneticPr fontId="18" type="noConversion"/>
  </si>
  <si>
    <r>
      <rPr>
        <b/>
        <sz val="11"/>
        <color rgb="FFFFFFFF"/>
        <rFont val="新細明體"/>
        <family val="1"/>
        <charset val="136"/>
      </rPr>
      <t>夜</t>
    </r>
    <r>
      <rPr>
        <b/>
        <sz val="11"/>
        <color rgb="FFFFFFFF"/>
        <rFont val="Cambria"/>
        <family val="1"/>
      </rPr>
      <t>HP</t>
    </r>
    <r>
      <rPr>
        <b/>
        <sz val="11"/>
        <color rgb="FFFFFFFF"/>
        <rFont val="新細明體"/>
        <family val="1"/>
        <charset val="136"/>
      </rPr>
      <t>占比</t>
    </r>
    <phoneticPr fontId="18" type="noConversion"/>
  </si>
  <si>
    <t>夜鍋爐占比</t>
    <phoneticPr fontId="18" type="noConversion"/>
  </si>
  <si>
    <r>
      <rPr>
        <b/>
        <sz val="11"/>
        <color rgb="FFFFFFFF"/>
        <rFont val="微軟正黑體"/>
        <family val="2"/>
        <charset val="136"/>
      </rPr>
      <t>日外溫</t>
    </r>
    <r>
      <rPr>
        <b/>
        <sz val="11"/>
        <color rgb="FFFFFFFF"/>
        <rFont val="Noto Sans CJK SC"/>
        <family val="2"/>
      </rPr>
      <t>(°C)</t>
    </r>
    <phoneticPr fontId="18" type="noConversion"/>
  </si>
  <si>
    <r>
      <rPr>
        <b/>
        <sz val="11"/>
        <color rgb="FFFFFFFF"/>
        <rFont val="微軟正黑體"/>
        <family val="2"/>
        <charset val="136"/>
      </rPr>
      <t>夜外溫</t>
    </r>
    <r>
      <rPr>
        <b/>
        <sz val="11"/>
        <color rgb="FFFFFFFF"/>
        <rFont val="Arial"/>
        <family val="2"/>
      </rPr>
      <t>(°C)</t>
    </r>
    <phoneticPr fontId="18" type="noConversion"/>
  </si>
  <si>
    <r>
      <rPr>
        <b/>
        <sz val="16"/>
        <rFont val="標楷體"/>
        <family val="4"/>
        <charset val="136"/>
      </rPr>
      <t>四情境比較</t>
    </r>
    <phoneticPr fontId="18" type="noConversion"/>
  </si>
  <si>
    <r>
      <rPr>
        <b/>
        <sz val="11"/>
        <color rgb="FFFFFFFF"/>
        <rFont val="標楷體"/>
        <family val="4"/>
        <charset val="136"/>
      </rPr>
      <t>情境</t>
    </r>
  </si>
  <si>
    <r>
      <rPr>
        <b/>
        <sz val="11"/>
        <color rgb="FFFFFFFF"/>
        <rFont val="標楷體"/>
        <family val="4"/>
        <charset val="136"/>
      </rPr>
      <t>能力評估</t>
    </r>
  </si>
  <si>
    <r>
      <rPr>
        <b/>
        <sz val="11"/>
        <color rgb="FFFFFFFF"/>
        <rFont val="標楷體"/>
        <family val="4"/>
        <charset val="136"/>
      </rPr>
      <t>額定值</t>
    </r>
  </si>
  <si>
    <r>
      <rPr>
        <b/>
        <sz val="11"/>
        <color rgb="FFFFFFFF"/>
        <rFont val="標楷體"/>
        <family val="4"/>
        <charset val="136"/>
      </rPr>
      <t>自動最佳化結果</t>
    </r>
  </si>
  <si>
    <r>
      <rPr>
        <b/>
        <sz val="11"/>
        <color rgb="FFFFFFFF"/>
        <rFont val="標楷體"/>
        <family val="4"/>
        <charset val="136"/>
      </rPr>
      <t>年總操作成本最小</t>
    </r>
    <phoneticPr fontId="18" type="noConversion"/>
  </si>
  <si>
    <r>
      <rPr>
        <sz val="10"/>
        <rFont val="標楷體"/>
        <family val="4"/>
        <charset val="136"/>
      </rPr>
      <t>使用者指定的</t>
    </r>
    <r>
      <rPr>
        <sz val="10"/>
        <rFont val="Times New Roman"/>
        <family val="1"/>
      </rPr>
      <t xml:space="preserve"> Solar share</t>
    </r>
    <phoneticPr fontId="18" type="noConversion"/>
  </si>
  <si>
    <r>
      <rPr>
        <sz val="10"/>
        <rFont val="標楷體"/>
        <family val="4"/>
        <charset val="136"/>
      </rPr>
      <t>最佳</t>
    </r>
    <r>
      <rPr>
        <sz val="10"/>
        <rFont val="Times New Roman"/>
        <family val="1"/>
      </rPr>
      <t xml:space="preserve"> Heat Pump </t>
    </r>
    <r>
      <rPr>
        <sz val="10"/>
        <rFont val="標楷體"/>
        <family val="4"/>
        <charset val="136"/>
      </rPr>
      <t>占比</t>
    </r>
  </si>
  <si>
    <r>
      <rPr>
        <sz val="10"/>
        <rFont val="標楷體"/>
        <family val="4"/>
        <charset val="136"/>
      </rPr>
      <t>最佳</t>
    </r>
    <r>
      <rPr>
        <sz val="10"/>
        <rFont val="Times New Roman"/>
        <family val="1"/>
      </rPr>
      <t xml:space="preserve"> Boiler </t>
    </r>
    <r>
      <rPr>
        <sz val="10"/>
        <rFont val="標楷體"/>
        <family val="4"/>
        <charset val="136"/>
      </rPr>
      <t>占比</t>
    </r>
  </si>
  <si>
    <r>
      <rPr>
        <b/>
        <sz val="16"/>
        <rFont val="標楷體"/>
        <family val="4"/>
        <charset val="136"/>
      </rPr>
      <t>比較指標</t>
    </r>
  </si>
  <si>
    <r>
      <rPr>
        <sz val="10"/>
        <rFont val="標楷體"/>
        <family val="4"/>
        <charset val="136"/>
      </rPr>
      <t>說明：系統自動最佳化</t>
    </r>
    <r>
      <rPr>
        <sz val="10"/>
        <rFont val="Times New Roman"/>
        <family val="1"/>
      </rPr>
      <t xml:space="preserve"> HP </t>
    </r>
    <r>
      <rPr>
        <sz val="10"/>
        <rFont val="標楷體"/>
        <family val="4"/>
        <charset val="136"/>
      </rPr>
      <t>與</t>
    </r>
    <r>
      <rPr>
        <sz val="10"/>
        <rFont val="Times New Roman"/>
        <family val="1"/>
      </rPr>
      <t xml:space="preserve"> Boiler </t>
    </r>
    <r>
      <rPr>
        <sz val="10"/>
        <rFont val="標楷體"/>
        <family val="4"/>
        <charset val="136"/>
      </rPr>
      <t>配比</t>
    </r>
    <phoneticPr fontId="18" type="noConversion"/>
  </si>
  <si>
    <r>
      <rPr>
        <b/>
        <sz val="11"/>
        <color rgb="FFFFFFFF"/>
        <rFont val="標楷體"/>
        <family val="4"/>
        <charset val="136"/>
      </rPr>
      <t>指標</t>
    </r>
  </si>
  <si>
    <r>
      <rPr>
        <b/>
        <sz val="11"/>
        <rFont val="標楷體"/>
        <family val="4"/>
        <charset val="136"/>
      </rPr>
      <t>投資建議</t>
    </r>
  </si>
  <si>
    <r>
      <rPr>
        <b/>
        <sz val="11"/>
        <color rgb="FFFFFFFF"/>
        <rFont val="標楷體"/>
        <family val="4"/>
        <charset val="136"/>
      </rPr>
      <t>年總操作成本</t>
    </r>
    <r>
      <rPr>
        <b/>
        <sz val="11"/>
        <color rgb="FFFFFFFF"/>
        <rFont val="Times New Roman"/>
        <family val="1"/>
      </rPr>
      <t xml:space="preserve"> (</t>
    </r>
    <r>
      <rPr>
        <b/>
        <sz val="11"/>
        <color rgb="FFFFFFFF"/>
        <rFont val="標楷體"/>
        <family val="4"/>
        <charset val="136"/>
      </rPr>
      <t>元</t>
    </r>
    <r>
      <rPr>
        <b/>
        <sz val="11"/>
        <color rgb="FFFFFFFF"/>
        <rFont val="Times New Roman"/>
        <family val="1"/>
      </rPr>
      <t>/</t>
    </r>
    <r>
      <rPr>
        <b/>
        <sz val="11"/>
        <color rgb="FFFFFFFF"/>
        <rFont val="標楷體"/>
        <family val="4"/>
        <charset val="136"/>
      </rPr>
      <t>年</t>
    </r>
    <r>
      <rPr>
        <b/>
        <sz val="11"/>
        <color rgb="FFFFFFFF"/>
        <rFont val="Times New Roman"/>
        <family val="1"/>
      </rPr>
      <t>)</t>
    </r>
  </si>
  <si>
    <r>
      <t xml:space="preserve"> (</t>
    </r>
    <r>
      <rPr>
        <b/>
        <sz val="11"/>
        <color rgb="FFFFFFFF"/>
        <rFont val="標楷體"/>
        <family val="4"/>
        <charset val="136"/>
      </rPr>
      <t>元</t>
    </r>
    <r>
      <rPr>
        <b/>
        <sz val="11"/>
        <color rgb="FFFFFFFF"/>
        <rFont val="Times New Roman"/>
        <family val="1"/>
      </rPr>
      <t>/m</t>
    </r>
    <r>
      <rPr>
        <b/>
        <vertAlign val="superscript"/>
        <sz val="11"/>
        <color rgb="FFFFFFFF"/>
        <rFont val="Times New Roman"/>
        <family val="1"/>
      </rPr>
      <t>2</t>
    </r>
    <r>
      <rPr>
        <b/>
        <sz val="11"/>
        <color rgb="FFFFFFFF"/>
        <rFont val="Times New Roman"/>
        <family val="1"/>
      </rPr>
      <t>/</t>
    </r>
    <r>
      <rPr>
        <b/>
        <sz val="11"/>
        <color rgb="FFFFFFFF"/>
        <rFont val="標楷體"/>
        <family val="4"/>
        <charset val="136"/>
      </rPr>
      <t>年</t>
    </r>
    <r>
      <rPr>
        <b/>
        <sz val="11"/>
        <color rgb="FFFFFFFF"/>
        <rFont val="Times New Roman"/>
        <family val="1"/>
      </rPr>
      <t>)</t>
    </r>
    <phoneticPr fontId="18" type="noConversion"/>
  </si>
  <si>
    <r>
      <rPr>
        <b/>
        <sz val="11"/>
        <color rgb="FFFFFFFF"/>
        <rFont val="標楷體"/>
        <family val="4"/>
        <charset val="136"/>
      </rPr>
      <t>設備價</t>
    </r>
    <r>
      <rPr>
        <b/>
        <sz val="11"/>
        <color rgb="FFFFFFFF"/>
        <rFont val="Times New Roman"/>
        <family val="1"/>
      </rPr>
      <t xml:space="preserve"> (</t>
    </r>
    <r>
      <rPr>
        <b/>
        <sz val="11"/>
        <color rgb="FFFFFFFF"/>
        <rFont val="標楷體"/>
        <family val="4"/>
        <charset val="136"/>
      </rPr>
      <t>元</t>
    </r>
    <r>
      <rPr>
        <b/>
        <sz val="11"/>
        <color rgb="FFFFFFFF"/>
        <rFont val="Times New Roman"/>
        <family val="1"/>
      </rPr>
      <t>)</t>
    </r>
  </si>
  <si>
    <r>
      <rPr>
        <b/>
        <sz val="11"/>
        <color rgb="FFFFFFFF"/>
        <rFont val="標楷體"/>
        <family val="4"/>
        <charset val="136"/>
      </rPr>
      <t>年總排放</t>
    </r>
    <r>
      <rPr>
        <b/>
        <sz val="11"/>
        <color rgb="FFFFFFFF"/>
        <rFont val="Times New Roman"/>
        <family val="1"/>
      </rPr>
      <t xml:space="preserve"> (kg-CO</t>
    </r>
    <r>
      <rPr>
        <b/>
        <vertAlign val="subscript"/>
        <sz val="11"/>
        <color rgb="FFFFFFFF"/>
        <rFont val="Times New Roman"/>
        <family val="1"/>
      </rPr>
      <t>2</t>
    </r>
    <r>
      <rPr>
        <b/>
        <sz val="11"/>
        <color rgb="FFFFFFFF"/>
        <rFont val="Times New Roman"/>
        <family val="1"/>
      </rPr>
      <t>/</t>
    </r>
    <r>
      <rPr>
        <b/>
        <sz val="11"/>
        <color rgb="FFFFFFFF"/>
        <rFont val="標楷體"/>
        <family val="4"/>
        <charset val="136"/>
      </rPr>
      <t>年</t>
    </r>
    <r>
      <rPr>
        <b/>
        <sz val="11"/>
        <color rgb="FFFFFFFF"/>
        <rFont val="Times New Roman"/>
        <family val="1"/>
      </rPr>
      <t>)</t>
    </r>
    <phoneticPr fontId="18" type="noConversion"/>
  </si>
  <si>
    <r>
      <rPr>
        <b/>
        <sz val="11"/>
        <color rgb="FFFFFFFF"/>
        <rFont val="標楷體"/>
        <family val="4"/>
        <charset val="136"/>
      </rPr>
      <t>排放強度</t>
    </r>
    <r>
      <rPr>
        <b/>
        <sz val="11"/>
        <color rgb="FFFFFFFF"/>
        <rFont val="Times New Roman"/>
        <family val="1"/>
      </rPr>
      <t>(kg-CO</t>
    </r>
    <r>
      <rPr>
        <b/>
        <vertAlign val="subscript"/>
        <sz val="11"/>
        <color rgb="FFFFFFFF"/>
        <rFont val="Times New Roman"/>
        <family val="1"/>
      </rPr>
      <t>2</t>
    </r>
    <r>
      <rPr>
        <b/>
        <sz val="11"/>
        <color rgb="FFFFFFFF"/>
        <rFont val="Times New Roman"/>
        <family val="1"/>
      </rPr>
      <t>/m</t>
    </r>
    <r>
      <rPr>
        <b/>
        <vertAlign val="superscript"/>
        <sz val="11"/>
        <color rgb="FFFFFFFF"/>
        <rFont val="Times New Roman"/>
        <family val="1"/>
      </rPr>
      <t>2</t>
    </r>
    <r>
      <rPr>
        <b/>
        <sz val="11"/>
        <color rgb="FFFFFFFF"/>
        <rFont val="Times New Roman"/>
        <family val="1"/>
      </rPr>
      <t>/</t>
    </r>
    <r>
      <rPr>
        <b/>
        <sz val="11"/>
        <color rgb="FFFFFFFF"/>
        <rFont val="標楷體"/>
        <family val="4"/>
        <charset val="136"/>
      </rPr>
      <t>年</t>
    </r>
    <r>
      <rPr>
        <b/>
        <sz val="11"/>
        <color rgb="FFFFFFFF"/>
        <rFont val="Times New Roman"/>
        <family val="1"/>
      </rPr>
      <t>)</t>
    </r>
    <phoneticPr fontId="18" type="noConversion"/>
  </si>
  <si>
    <r>
      <rPr>
        <b/>
        <sz val="11"/>
        <color rgb="FFFFFFFF"/>
        <rFont val="標楷體"/>
        <family val="4"/>
        <charset val="136"/>
      </rPr>
      <t>可用加熱能力</t>
    </r>
    <r>
      <rPr>
        <b/>
        <sz val="11"/>
        <color rgb="FFFFFFFF"/>
        <rFont val="Times New Roman"/>
        <family val="1"/>
      </rPr>
      <t>(kW)</t>
    </r>
  </si>
  <si>
    <r>
      <t xml:space="preserve">Hybrid </t>
    </r>
    <r>
      <rPr>
        <b/>
        <sz val="11"/>
        <color rgb="FFFFFFFF"/>
        <rFont val="標楷體"/>
        <family val="4"/>
        <charset val="136"/>
      </rPr>
      <t>相對</t>
    </r>
    <r>
      <rPr>
        <b/>
        <sz val="11"/>
        <color rgb="FFFFFFFF"/>
        <rFont val="Times New Roman"/>
        <family val="1"/>
      </rPr>
      <t xml:space="preserve"> Boiler-only</t>
    </r>
  </si>
  <si>
    <r>
      <t xml:space="preserve">Hybrid </t>
    </r>
    <r>
      <rPr>
        <b/>
        <sz val="11"/>
        <color rgb="FFFFFFFF"/>
        <rFont val="標楷體"/>
        <family val="4"/>
        <charset val="136"/>
      </rPr>
      <t>相對</t>
    </r>
    <r>
      <rPr>
        <b/>
        <sz val="11"/>
        <color rgb="FFFFFFFF"/>
        <rFont val="Times New Roman"/>
        <family val="1"/>
      </rPr>
      <t xml:space="preserve"> HP-only</t>
    </r>
  </si>
  <si>
    <r>
      <t xml:space="preserve">Hybrid_OPT </t>
    </r>
    <r>
      <rPr>
        <b/>
        <sz val="11"/>
        <color rgb="FFFFFFFF"/>
        <rFont val="標楷體"/>
        <family val="4"/>
        <charset val="136"/>
      </rPr>
      <t>相對</t>
    </r>
    <r>
      <rPr>
        <b/>
        <sz val="11"/>
        <color rgb="FFFFFFFF"/>
        <rFont val="Times New Roman"/>
        <family val="1"/>
      </rPr>
      <t xml:space="preserve"> Boiler-only</t>
    </r>
  </si>
  <si>
    <r>
      <t xml:space="preserve">Hybrid_OPT </t>
    </r>
    <r>
      <rPr>
        <b/>
        <sz val="11"/>
        <color rgb="FFFFFFFF"/>
        <rFont val="標楷體"/>
        <family val="4"/>
        <charset val="136"/>
      </rPr>
      <t>相對</t>
    </r>
    <r>
      <rPr>
        <b/>
        <sz val="11"/>
        <color rgb="FFFFFFFF"/>
        <rFont val="Times New Roman"/>
        <family val="1"/>
      </rPr>
      <t xml:space="preserve"> HP-only</t>
    </r>
  </si>
  <si>
    <r>
      <rPr>
        <b/>
        <sz val="11"/>
        <rFont val="標楷體"/>
        <family val="4"/>
        <charset val="136"/>
      </rPr>
      <t>年節省</t>
    </r>
    <r>
      <rPr>
        <b/>
        <sz val="11"/>
        <rFont val="Times New Roman"/>
        <family val="1"/>
      </rPr>
      <t xml:space="preserve"> (</t>
    </r>
    <r>
      <rPr>
        <b/>
        <sz val="11"/>
        <rFont val="標楷體"/>
        <family val="4"/>
        <charset val="136"/>
      </rPr>
      <t>元</t>
    </r>
    <r>
      <rPr>
        <b/>
        <sz val="11"/>
        <rFont val="Times New Roman"/>
        <family val="1"/>
      </rPr>
      <t>/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)</t>
    </r>
  </si>
  <si>
    <r>
      <rPr>
        <b/>
        <sz val="11"/>
        <rFont val="標楷體"/>
        <family val="4"/>
        <charset val="136"/>
      </rPr>
      <t>年減排</t>
    </r>
    <r>
      <rPr>
        <b/>
        <sz val="11"/>
        <rFont val="Times New Roman"/>
        <family val="1"/>
      </rPr>
      <t xml:space="preserve"> (kg-CO2/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)</t>
    </r>
  </si>
  <si>
    <r>
      <rPr>
        <b/>
        <sz val="11"/>
        <rFont val="標楷體"/>
        <family val="4"/>
        <charset val="136"/>
      </rPr>
      <t>增額投資</t>
    </r>
    <r>
      <rPr>
        <b/>
        <sz val="11"/>
        <rFont val="Times New Roman"/>
        <family val="1"/>
      </rPr>
      <t xml:space="preserve"> (</t>
    </r>
    <r>
      <rPr>
        <b/>
        <sz val="11"/>
        <rFont val="標楷體"/>
        <family val="4"/>
        <charset val="136"/>
      </rPr>
      <t>元</t>
    </r>
    <r>
      <rPr>
        <b/>
        <sz val="11"/>
        <rFont val="Times New Roman"/>
        <family val="1"/>
      </rPr>
      <t>)</t>
    </r>
  </si>
  <si>
    <r>
      <rPr>
        <b/>
        <sz val="11"/>
        <rFont val="標楷體"/>
        <family val="4"/>
        <charset val="136"/>
      </rPr>
      <t>簡單回收年限</t>
    </r>
    <r>
      <rPr>
        <b/>
        <sz val="11"/>
        <rFont val="Times New Roman"/>
        <family val="1"/>
      </rPr>
      <t xml:space="preserve"> (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)</t>
    </r>
  </si>
  <si>
    <r>
      <t>NPV (</t>
    </r>
    <r>
      <rPr>
        <b/>
        <sz val="11"/>
        <rFont val="標楷體"/>
        <family val="4"/>
        <charset val="136"/>
      </rPr>
      <t>元</t>
    </r>
    <r>
      <rPr>
        <b/>
        <sz val="11"/>
        <rFont val="Times New Roman"/>
        <family val="1"/>
      </rPr>
      <t>)</t>
    </r>
  </si>
  <si>
    <t>鍋爐與熱泵兩種設備由商業規格中選型，最多兩型，可以不同型號，數量不限。</t>
    <phoneticPr fontId="18" type="noConversion"/>
  </si>
  <si>
    <r>
      <rPr>
        <sz val="14"/>
        <color theme="1"/>
        <rFont val="標楷體"/>
        <family val="4"/>
        <charset val="136"/>
      </rPr>
      <t>前期設備選型、不同城市加熱需求比較、溫室結構改善效益、燃料與電價變動敏感度、熱泵導入可行性評估。</t>
    </r>
  </si>
  <si>
    <r>
      <rPr>
        <b/>
        <sz val="14"/>
        <rFont val="標楷體"/>
        <family val="4"/>
        <charset val="136"/>
      </rPr>
      <t>適用情境</t>
    </r>
  </si>
  <si>
    <r>
      <rPr>
        <b/>
        <sz val="14"/>
        <rFont val="標楷體"/>
        <family val="4"/>
        <charset val="136"/>
      </rPr>
      <t>熱泵</t>
    </r>
    <r>
      <rPr>
        <b/>
        <sz val="14"/>
        <rFont val="Times New Roman"/>
        <family val="1"/>
      </rPr>
      <t xml:space="preserve"> COP</t>
    </r>
  </si>
  <si>
    <r>
      <rPr>
        <b/>
        <sz val="14"/>
        <rFont val="標楷體"/>
        <family val="4"/>
        <charset val="136"/>
      </rPr>
      <t>投資分析年限</t>
    </r>
  </si>
  <si>
    <r>
      <rPr>
        <b/>
        <sz val="14"/>
        <rFont val="標楷體"/>
        <family val="4"/>
        <charset val="136"/>
      </rPr>
      <t>設備選型</t>
    </r>
  </si>
  <si>
    <r>
      <rPr>
        <b/>
        <sz val="14"/>
        <rFont val="標楷體"/>
        <family val="4"/>
        <charset val="136"/>
      </rPr>
      <t>容量不足</t>
    </r>
  </si>
  <si>
    <r>
      <rPr>
        <b/>
        <sz val="14"/>
        <rFont val="標楷體"/>
        <family val="4"/>
        <charset val="136"/>
      </rPr>
      <t>排放比較</t>
    </r>
  </si>
  <si>
    <r>
      <rPr>
        <sz val="14"/>
        <color theme="1"/>
        <rFont val="標楷體"/>
        <family val="4"/>
        <charset val="136"/>
      </rPr>
      <t>設備查表中的熱泵</t>
    </r>
    <r>
      <rPr>
        <sz val="14"/>
        <color theme="1"/>
        <rFont val="Times New Roman"/>
        <family val="1"/>
      </rPr>
      <t xml:space="preserve"> COP </t>
    </r>
    <r>
      <rPr>
        <sz val="14"/>
        <color theme="1"/>
        <rFont val="標楷體"/>
        <family val="4"/>
        <charset val="136"/>
      </rPr>
      <t>為額定值；實際運轉</t>
    </r>
    <r>
      <rPr>
        <sz val="14"/>
        <color theme="1"/>
        <rFont val="Times New Roman"/>
        <family val="1"/>
      </rPr>
      <t xml:space="preserve"> COP </t>
    </r>
    <r>
      <rPr>
        <sz val="14"/>
        <color theme="1"/>
        <rFont val="標楷體"/>
        <family val="4"/>
        <charset val="136"/>
      </rPr>
      <t>依額定</t>
    </r>
    <r>
      <rPr>
        <sz val="14"/>
        <color theme="1"/>
        <rFont val="Times New Roman"/>
        <family val="1"/>
      </rPr>
      <t xml:space="preserve"> COP</t>
    </r>
    <r>
      <rPr>
        <sz val="14"/>
        <color theme="1"/>
        <rFont val="標楷體"/>
        <family val="4"/>
        <charset val="136"/>
      </rPr>
      <t>、月別日</t>
    </r>
    <r>
      <rPr>
        <sz val="14"/>
        <color theme="1"/>
        <rFont val="Times New Roman"/>
        <family val="1"/>
      </rPr>
      <t>/</t>
    </r>
    <r>
      <rPr>
        <sz val="14"/>
        <color theme="1"/>
        <rFont val="標楷體"/>
        <family val="4"/>
        <charset val="136"/>
      </rPr>
      <t>夜外氣溫度、參考溫度與斜率公式自動修正，並受上</t>
    </r>
    <r>
      <rPr>
        <sz val="14"/>
        <color theme="1"/>
        <rFont val="Times New Roman"/>
        <family val="1"/>
      </rPr>
      <t>/</t>
    </r>
    <r>
      <rPr>
        <sz val="14"/>
        <color theme="1"/>
        <rFont val="標楷體"/>
        <family val="4"/>
        <charset val="136"/>
      </rPr>
      <t>下限倍率約束。</t>
    </r>
  </si>
  <si>
    <r>
      <t xml:space="preserve">NPV </t>
    </r>
    <r>
      <rPr>
        <sz val="14"/>
        <color theme="1"/>
        <rFont val="標楷體"/>
        <family val="4"/>
        <charset val="136"/>
      </rPr>
      <t>與</t>
    </r>
    <r>
      <rPr>
        <sz val="14"/>
        <color theme="1"/>
        <rFont val="Times New Roman"/>
        <family val="1"/>
      </rPr>
      <t xml:space="preserve"> IRR </t>
    </r>
    <r>
      <rPr>
        <sz val="14"/>
        <color theme="1"/>
        <rFont val="標楷體"/>
        <family val="4"/>
        <charset val="136"/>
      </rPr>
      <t>只使用設備壽命年限內的現金流；超過壽命的年度現金流不納入計算。</t>
    </r>
  </si>
  <si>
    <r>
      <rPr>
        <sz val="14"/>
        <color theme="1"/>
        <rFont val="標楷體"/>
        <family val="4"/>
        <charset val="136"/>
      </rPr>
      <t>若某情境顯示「能力不足」，不代表系統無法成立；可透過增加同型號台數、改選較大型號，或在</t>
    </r>
    <r>
      <rPr>
        <sz val="14"/>
        <color theme="1"/>
        <rFont val="Times New Roman"/>
        <family val="1"/>
      </rPr>
      <t xml:space="preserve"> Hybrid </t>
    </r>
    <r>
      <rPr>
        <sz val="14"/>
        <color theme="1"/>
        <rFont val="標楷體"/>
        <family val="4"/>
        <charset val="136"/>
      </rPr>
      <t>中重新分配熱泵</t>
    </r>
    <r>
      <rPr>
        <sz val="14"/>
        <color theme="1"/>
        <rFont val="Times New Roman"/>
        <family val="1"/>
      </rPr>
      <t xml:space="preserve"> / </t>
    </r>
    <r>
      <rPr>
        <sz val="14"/>
        <color theme="1"/>
        <rFont val="標楷體"/>
        <family val="4"/>
        <charset val="136"/>
      </rPr>
      <t>鍋爐負荷比例來滿足設計需求。</t>
    </r>
  </si>
  <si>
    <r>
      <t xml:space="preserve">Boiler-only </t>
    </r>
    <r>
      <rPr>
        <sz val="14"/>
        <color theme="1"/>
        <rFont val="標楷體"/>
        <family val="4"/>
        <charset val="136"/>
      </rPr>
      <t>為鍋爐燃料直接排放；</t>
    </r>
    <r>
      <rPr>
        <sz val="14"/>
        <color theme="1"/>
        <rFont val="Times New Roman"/>
        <family val="1"/>
      </rPr>
      <t xml:space="preserve">HP-only </t>
    </r>
    <r>
      <rPr>
        <sz val="14"/>
        <color theme="1"/>
        <rFont val="標楷體"/>
        <family val="4"/>
        <charset val="136"/>
      </rPr>
      <t>為電力排放；</t>
    </r>
    <r>
      <rPr>
        <sz val="14"/>
        <color theme="1"/>
        <rFont val="Times New Roman"/>
        <family val="1"/>
      </rPr>
      <t xml:space="preserve">Hybrid </t>
    </r>
    <r>
      <rPr>
        <sz val="14"/>
        <color theme="1"/>
        <rFont val="標楷體"/>
        <family val="4"/>
        <charset val="136"/>
      </rPr>
      <t>為電力排放</t>
    </r>
    <r>
      <rPr>
        <sz val="14"/>
        <color theme="1"/>
        <rFont val="Times New Roman"/>
        <family val="1"/>
      </rPr>
      <t xml:space="preserve"> + </t>
    </r>
    <r>
      <rPr>
        <sz val="14"/>
        <color theme="1"/>
        <rFont val="標楷體"/>
        <family val="4"/>
        <charset val="136"/>
      </rPr>
      <t>鍋爐直接排放。</t>
    </r>
  </si>
  <si>
    <t xml:space="preserve"> </t>
  </si>
  <si>
    <r>
      <t>黃色背景欄位有</t>
    </r>
    <r>
      <rPr>
        <b/>
        <u/>
        <sz val="12"/>
        <color rgb="FFFF0000"/>
        <rFont val="標楷體"/>
        <family val="4"/>
        <charset val="136"/>
      </rPr>
      <t>下拉式選單</t>
    </r>
    <phoneticPr fontId="18" type="noConversion"/>
  </si>
  <si>
    <t>備註：</t>
    <phoneticPr fontId="18" type="noConversion"/>
  </si>
  <si>
    <r>
      <rPr>
        <sz val="12"/>
        <color rgb="FF0070C0"/>
        <rFont val="標楷體"/>
        <family val="4"/>
        <charset val="136"/>
      </rPr>
      <t>深藍數字</t>
    </r>
    <r>
      <rPr>
        <sz val="12"/>
        <color rgb="FFFF0000"/>
        <rFont val="標楷體"/>
        <family val="4"/>
        <charset val="136"/>
      </rPr>
      <t>白色背景為</t>
    </r>
    <r>
      <rPr>
        <b/>
        <u/>
        <sz val="12"/>
        <color rgb="FF0070C0"/>
        <rFont val="標楷體"/>
        <family val="4"/>
        <charset val="136"/>
      </rPr>
      <t>使用者輸入</t>
    </r>
    <r>
      <rPr>
        <b/>
        <sz val="12"/>
        <color rgb="FF0070C0"/>
        <rFont val="標楷體"/>
        <family val="4"/>
        <charset val="136"/>
      </rPr>
      <t>欄位</t>
    </r>
    <phoneticPr fontId="18" type="noConversion"/>
  </si>
  <si>
    <r>
      <t>淺藍背景</t>
    </r>
    <r>
      <rPr>
        <b/>
        <sz val="12"/>
        <rFont val="標楷體"/>
        <family val="4"/>
        <charset val="136"/>
      </rPr>
      <t>黑色數字</t>
    </r>
    <r>
      <rPr>
        <sz val="12"/>
        <color rgb="FFFF0000"/>
        <rFont val="標楷體"/>
        <family val="4"/>
        <charset val="136"/>
      </rPr>
      <t>為</t>
    </r>
    <r>
      <rPr>
        <b/>
        <u/>
        <sz val="12"/>
        <color rgb="FFFF0000"/>
        <rFont val="標楷體"/>
        <family val="4"/>
        <charset val="136"/>
      </rPr>
      <t>自動帶入</t>
    </r>
    <phoneticPr fontId="18" type="noConversion"/>
  </si>
  <si>
    <r>
      <rPr>
        <sz val="12"/>
        <color theme="1"/>
        <rFont val="標楷體"/>
        <family val="4"/>
        <charset val="136"/>
      </rPr>
      <t>台大生機系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方煒</t>
    </r>
    <r>
      <rPr>
        <sz val="12"/>
        <color theme="1"/>
        <rFont val="Times New Roman"/>
        <family val="1"/>
      </rPr>
      <t xml:space="preserve"> &amp; ChatGPT Thinking   LastUpdated: 2026/04/17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</si>
</sst>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#,##0.0;[Red]\(#,##0.0\);\-"/>
    <numFmt numFmtId="177" formatCode="0.0%"/>
    <numFmt numFmtId="178" formatCode="0.0"/>
    <numFmt numFmtId="179" formatCode="#,##0;[Red]\(#,##0\);\-"/>
    <numFmt numFmtId="180" formatCode="0.000"/>
    <numFmt numFmtId="181" formatCode="#,##0.00;[Red]\(#,##0.00\);\-"/>
    <numFmt numFmtId="182" formatCode="0.0000"/>
  </numFmts>
  <fonts count="58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FFFFFF"/>
      <name val="Noto Sans CJK SC"/>
      <family val="2"/>
    </font>
    <font>
      <b/>
      <sz val="11"/>
      <name val="Noto Sans CJK SC"/>
      <family val="2"/>
    </font>
    <font>
      <sz val="11"/>
      <color rgb="FF0000FF"/>
      <name val="Cambria"/>
      <family val="1"/>
    </font>
    <font>
      <sz val="11"/>
      <color theme="1"/>
      <name val="Calibri"/>
      <family val="2"/>
    </font>
    <font>
      <b/>
      <sz val="11"/>
      <name val="Cambria"/>
      <family val="1"/>
    </font>
    <font>
      <sz val="11"/>
      <color rgb="FF000000"/>
      <name val="Cambria"/>
      <family val="1"/>
    </font>
    <font>
      <sz val="11"/>
      <color rgb="FF0000FF"/>
      <name val="Noto Sans CJK SC"/>
      <family val="2"/>
    </font>
    <font>
      <sz val="11"/>
      <color theme="1"/>
      <name val="Noto Sans CJK SC"/>
      <family val="2"/>
    </font>
    <font>
      <b/>
      <sz val="11"/>
      <color rgb="FFFFFFFF"/>
      <name val="Noto Sans CJK SC"/>
      <family val="2"/>
    </font>
    <font>
      <b/>
      <sz val="11"/>
      <color rgb="FFFFFFFF"/>
      <name val="Cambria"/>
      <family val="1"/>
    </font>
    <font>
      <sz val="10"/>
      <name val="Noto Sans CJK SC"/>
      <family val="2"/>
    </font>
    <font>
      <b/>
      <sz val="16"/>
      <name val="Cambria"/>
      <family val="1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11"/>
      <color theme="1"/>
      <name val="Cambria"/>
      <family val="1"/>
    </font>
    <font>
      <sz val="9"/>
      <name val="細明體"/>
      <family val="3"/>
      <charset val="136"/>
    </font>
    <font>
      <sz val="12"/>
      <color rgb="FFFF0000"/>
      <name val="標楷體"/>
      <family val="4"/>
      <charset val="136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Times New Roman"/>
      <family val="4"/>
      <charset val="136"/>
    </font>
    <font>
      <b/>
      <sz val="10"/>
      <name val="微軟正黑體"/>
      <family val="2"/>
      <charset val="136"/>
    </font>
    <font>
      <b/>
      <sz val="10"/>
      <name val="Arial"/>
      <family val="2"/>
      <charset val="136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b/>
      <sz val="11"/>
      <color rgb="FFFFFFFF"/>
      <name val="新細明體"/>
      <family val="1"/>
      <charset val="136"/>
    </font>
    <font>
      <b/>
      <sz val="11"/>
      <color rgb="FFFFFFFF"/>
      <name val="Cambria"/>
      <family val="1"/>
      <charset val="136"/>
    </font>
    <font>
      <b/>
      <sz val="11"/>
      <color rgb="FFFFFFFF"/>
      <name val="微軟正黑體"/>
      <family val="2"/>
      <charset val="136"/>
    </font>
    <font>
      <b/>
      <sz val="11"/>
      <color rgb="FFFFFFFF"/>
      <name val="Arial"/>
      <family val="2"/>
    </font>
    <font>
      <b/>
      <sz val="11"/>
      <color rgb="FFFFFFFF"/>
      <name val="Noto Sans CJK SC"/>
      <family val="2"/>
      <charset val="136"/>
    </font>
    <font>
      <sz val="10"/>
      <name val="標楷體"/>
      <family val="4"/>
      <charset val="136"/>
    </font>
    <font>
      <b/>
      <sz val="16"/>
      <name val="標楷體"/>
      <family val="4"/>
      <charset val="136"/>
    </font>
    <font>
      <b/>
      <sz val="11"/>
      <color rgb="FFFFFFFF"/>
      <name val="標楷體"/>
      <family val="4"/>
      <charset val="136"/>
    </font>
    <font>
      <sz val="10"/>
      <name val="Times New Roman"/>
      <family val="1"/>
    </font>
    <font>
      <b/>
      <sz val="16"/>
      <name val="Times New Roman"/>
      <family val="1"/>
    </font>
    <font>
      <b/>
      <sz val="11"/>
      <color rgb="FFFFFFFF"/>
      <name val="Times New Roman"/>
      <family val="1"/>
    </font>
    <font>
      <b/>
      <vertAlign val="superscript"/>
      <sz val="11"/>
      <color rgb="FFFFFFFF"/>
      <name val="Times New Roman"/>
      <family val="1"/>
    </font>
    <font>
      <b/>
      <vertAlign val="subscript"/>
      <sz val="11"/>
      <color rgb="FFFFFFFF"/>
      <name val="Times New Roman"/>
      <family val="1"/>
    </font>
    <font>
      <b/>
      <u/>
      <sz val="12"/>
      <color rgb="FFFF0000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name val="Times New Roman"/>
      <family val="1"/>
    </font>
    <font>
      <sz val="10"/>
      <color rgb="FFFFFFFF"/>
      <name val="Arial"/>
      <family val="2"/>
    </font>
    <font>
      <sz val="12"/>
      <color theme="1"/>
      <name val="標楷體"/>
      <family val="4"/>
      <charset val="136"/>
    </font>
    <font>
      <sz val="12"/>
      <color rgb="FF0070C0"/>
      <name val="標楷體"/>
      <family val="4"/>
      <charset val="136"/>
    </font>
    <font>
      <b/>
      <u/>
      <sz val="12"/>
      <color rgb="FF0070C0"/>
      <name val="標楷體"/>
      <family val="4"/>
      <charset val="136"/>
    </font>
    <font>
      <b/>
      <sz val="12"/>
      <color rgb="FF0070C0"/>
      <name val="標楷體"/>
      <family val="4"/>
      <charset val="136"/>
    </font>
    <font>
      <b/>
      <sz val="12"/>
      <name val="標楷體"/>
      <family val="4"/>
      <charset val="136"/>
    </font>
    <font>
      <sz val="12"/>
      <color theme="1"/>
      <name val="Times New Roman"/>
      <family val="4"/>
      <charset val="136"/>
    </font>
    <font>
      <sz val="12"/>
      <color theme="1"/>
      <name val="Times New Roman"/>
      <family val="1"/>
    </font>
    <font>
      <b/>
      <sz val="22"/>
      <color rgb="FFFFFFFF"/>
      <name val="標楷體"/>
      <family val="4"/>
      <charset val="136"/>
    </font>
    <font>
      <b/>
      <sz val="22"/>
      <color rgb="FFFFFFFF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1F1F1F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E4DFEC"/>
      </patternFill>
    </fill>
    <fill>
      <patternFill patternType="solid">
        <fgColor rgb="FFDDEBF7"/>
      </patternFill>
    </fill>
    <fill>
      <patternFill patternType="solid">
        <fgColor rgb="FFD9EAD3"/>
      </patternFill>
    </fill>
    <fill>
      <patternFill patternType="solid">
        <fgColor rgb="FFF4CCCC"/>
      </patternFill>
    </fill>
    <fill>
      <patternFill patternType="solid">
        <fgColor rgb="FFD9D2E9"/>
      </patternFill>
    </fill>
    <fill>
      <patternFill patternType="solid">
        <fgColor rgb="FFF7FBFF"/>
      </patternFill>
    </fill>
    <fill>
      <patternFill patternType="solid">
        <fgColor rgb="FFFFFFFF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2" fillId="0" borderId="0"/>
    <xf numFmtId="41" fontId="2" fillId="0" borderId="0"/>
    <xf numFmtId="44" fontId="2" fillId="0" borderId="0"/>
    <xf numFmtId="42" fontId="2" fillId="0" borderId="0"/>
    <xf numFmtId="9" fontId="2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4"/>
    <xf numFmtId="0" fontId="1" fillId="0" borderId="4"/>
  </cellStyleXfs>
  <cellXfs count="248">
    <xf numFmtId="0" fontId="0" fillId="0" borderId="0" xfId="0" applyAlignment="1"/>
    <xf numFmtId="0" fontId="0" fillId="0" borderId="0" xfId="6" applyFont="1" applyAlignment="1"/>
    <xf numFmtId="0" fontId="0" fillId="0" borderId="0" xfId="6" applyFont="1"/>
    <xf numFmtId="0" fontId="4" fillId="0" borderId="1" xfId="6" applyFont="1" applyBorder="1" applyAlignment="1">
      <alignment horizontal="left" vertical="center"/>
    </xf>
    <xf numFmtId="0" fontId="6" fillId="0" borderId="1" xfId="6" applyFont="1" applyBorder="1" applyAlignment="1"/>
    <xf numFmtId="0" fontId="4" fillId="3" borderId="0" xfId="6" applyFont="1" applyFill="1" applyAlignment="1">
      <alignment horizontal="center" vertical="center"/>
    </xf>
    <xf numFmtId="176" fontId="8" fillId="0" borderId="1" xfId="6" applyNumberFormat="1" applyFont="1" applyBorder="1" applyAlignment="1">
      <alignment horizontal="left" vertical="center"/>
    </xf>
    <xf numFmtId="177" fontId="8" fillId="0" borderId="1" xfId="6" applyNumberFormat="1" applyFont="1" applyBorder="1" applyAlignment="1">
      <alignment horizontal="left" vertical="center"/>
    </xf>
    <xf numFmtId="180" fontId="8" fillId="4" borderId="1" xfId="6" applyNumberFormat="1" applyFont="1" applyFill="1" applyBorder="1" applyAlignment="1">
      <alignment horizontal="left" vertical="center"/>
    </xf>
    <xf numFmtId="180" fontId="7" fillId="0" borderId="1" xfId="6" applyNumberFormat="1" applyFont="1" applyBorder="1" applyAlignment="1">
      <alignment horizontal="left" vertical="center"/>
    </xf>
    <xf numFmtId="0" fontId="10" fillId="0" borderId="1" xfId="6" applyFont="1" applyBorder="1" applyAlignment="1"/>
    <xf numFmtId="177" fontId="6" fillId="0" borderId="1" xfId="6" applyNumberFormat="1" applyFont="1" applyBorder="1" applyAlignment="1"/>
    <xf numFmtId="1" fontId="6" fillId="0" borderId="1" xfId="6" applyNumberFormat="1" applyFont="1" applyBorder="1" applyAlignment="1"/>
    <xf numFmtId="0" fontId="4" fillId="0" borderId="1" xfId="6" applyFont="1" applyBorder="1" applyAlignment="1"/>
    <xf numFmtId="4" fontId="6" fillId="0" borderId="1" xfId="6" applyNumberFormat="1" applyFont="1" applyBorder="1" applyAlignment="1"/>
    <xf numFmtId="0" fontId="7" fillId="3" borderId="0" xfId="6" applyFont="1" applyFill="1" applyAlignment="1">
      <alignment horizontal="center" vertical="center"/>
    </xf>
    <xf numFmtId="0" fontId="6" fillId="0" borderId="1" xfId="6" applyFont="1" applyBorder="1" applyAlignment="1">
      <alignment horizontal="left" vertical="center"/>
    </xf>
    <xf numFmtId="3" fontId="6" fillId="0" borderId="1" xfId="6" applyNumberFormat="1" applyFont="1" applyBorder="1" applyAlignment="1">
      <alignment horizontal="center" vertical="center"/>
    </xf>
    <xf numFmtId="178" fontId="8" fillId="0" borderId="1" xfId="6" applyNumberFormat="1" applyFont="1" applyBorder="1" applyAlignment="1">
      <alignment horizontal="left" vertical="center"/>
    </xf>
    <xf numFmtId="2" fontId="8" fillId="0" borderId="1" xfId="6" applyNumberFormat="1" applyFont="1" applyBorder="1" applyAlignment="1">
      <alignment horizontal="left" vertical="center"/>
    </xf>
    <xf numFmtId="0" fontId="6" fillId="0" borderId="1" xfId="6" applyFont="1" applyBorder="1" applyAlignment="1">
      <alignment horizontal="center" vertical="center"/>
    </xf>
    <xf numFmtId="179" fontId="7" fillId="3" borderId="2" xfId="6" applyNumberFormat="1" applyFont="1" applyFill="1" applyBorder="1" applyAlignment="1">
      <alignment horizontal="right" vertical="center"/>
    </xf>
    <xf numFmtId="2" fontId="7" fillId="3" borderId="2" xfId="6" applyNumberFormat="1" applyFont="1" applyFill="1" applyBorder="1" applyAlignment="1">
      <alignment horizontal="right" vertical="center"/>
    </xf>
    <xf numFmtId="179" fontId="7" fillId="6" borderId="2" xfId="6" applyNumberFormat="1" applyFont="1" applyFill="1" applyBorder="1" applyAlignment="1">
      <alignment horizontal="right" vertical="center"/>
    </xf>
    <xf numFmtId="2" fontId="7" fillId="6" borderId="2" xfId="6" applyNumberFormat="1" applyFont="1" applyFill="1" applyBorder="1" applyAlignment="1">
      <alignment horizontal="right" vertical="center"/>
    </xf>
    <xf numFmtId="2" fontId="7" fillId="7" borderId="2" xfId="6" applyNumberFormat="1" applyFont="1" applyFill="1" applyBorder="1" applyAlignment="1">
      <alignment horizontal="right" vertical="center"/>
    </xf>
    <xf numFmtId="179" fontId="7" fillId="7" borderId="2" xfId="6" applyNumberFormat="1" applyFont="1" applyFill="1" applyBorder="1" applyAlignment="1">
      <alignment horizontal="right" vertical="center"/>
    </xf>
    <xf numFmtId="2" fontId="7" fillId="8" borderId="2" xfId="6" applyNumberFormat="1" applyFont="1" applyFill="1" applyBorder="1" applyAlignment="1">
      <alignment horizontal="right" vertical="center"/>
    </xf>
    <xf numFmtId="179" fontId="7" fillId="8" borderId="2" xfId="6" applyNumberFormat="1" applyFont="1" applyFill="1" applyBorder="1" applyAlignment="1">
      <alignment horizontal="right" vertical="center"/>
    </xf>
    <xf numFmtId="179" fontId="7" fillId="9" borderId="2" xfId="6" applyNumberFormat="1" applyFont="1" applyFill="1" applyBorder="1" applyAlignment="1">
      <alignment horizontal="right" vertical="center"/>
    </xf>
    <xf numFmtId="2" fontId="7" fillId="9" borderId="2" xfId="6" applyNumberFormat="1" applyFont="1" applyFill="1" applyBorder="1" applyAlignment="1">
      <alignment horizontal="right" vertical="center"/>
    </xf>
    <xf numFmtId="179" fontId="7" fillId="10" borderId="2" xfId="6" applyNumberFormat="1" applyFont="1" applyFill="1" applyBorder="1" applyAlignment="1">
      <alignment horizontal="right" vertical="center"/>
    </xf>
    <xf numFmtId="177" fontId="7" fillId="10" borderId="2" xfId="6" applyNumberFormat="1" applyFont="1" applyFill="1" applyBorder="1" applyAlignment="1">
      <alignment horizontal="right" vertical="center"/>
    </xf>
    <xf numFmtId="179" fontId="7" fillId="11" borderId="2" xfId="6" applyNumberFormat="1" applyFont="1" applyFill="1" applyBorder="1" applyAlignment="1">
      <alignment horizontal="left" vertical="center"/>
    </xf>
    <xf numFmtId="179" fontId="7" fillId="11" borderId="2" xfId="6" applyNumberFormat="1" applyFont="1" applyFill="1" applyBorder="1" applyAlignment="1">
      <alignment horizontal="right" vertical="center"/>
    </xf>
    <xf numFmtId="179" fontId="12" fillId="12" borderId="2" xfId="6" applyNumberFormat="1" applyFont="1" applyFill="1" applyBorder="1" applyAlignment="1">
      <alignment horizontal="right" vertical="center"/>
    </xf>
    <xf numFmtId="179" fontId="12" fillId="5" borderId="2" xfId="6" applyNumberFormat="1" applyFont="1" applyFill="1" applyBorder="1" applyAlignment="1">
      <alignment horizontal="right" vertical="center"/>
    </xf>
    <xf numFmtId="0" fontId="7" fillId="12" borderId="2" xfId="6" applyFont="1" applyFill="1" applyBorder="1" applyAlignment="1">
      <alignment horizontal="center" vertical="center"/>
    </xf>
    <xf numFmtId="177" fontId="12" fillId="5" borderId="2" xfId="6" applyNumberFormat="1" applyFont="1" applyFill="1" applyBorder="1" applyAlignment="1">
      <alignment horizontal="right" vertical="center"/>
    </xf>
    <xf numFmtId="177" fontId="0" fillId="0" borderId="0" xfId="6" applyNumberFormat="1" applyFont="1" applyAlignment="1">
      <alignment horizontal="right" vertical="center"/>
    </xf>
    <xf numFmtId="179" fontId="0" fillId="0" borderId="0" xfId="6" applyNumberFormat="1" applyFont="1" applyAlignment="1">
      <alignment horizontal="right" vertical="center"/>
    </xf>
    <xf numFmtId="179" fontId="8" fillId="3" borderId="2" xfId="6" applyNumberFormat="1" applyFont="1" applyFill="1" applyBorder="1" applyAlignment="1">
      <alignment horizontal="right" vertical="center"/>
    </xf>
    <xf numFmtId="2" fontId="8" fillId="3" borderId="2" xfId="6" applyNumberFormat="1" applyFont="1" applyFill="1" applyBorder="1" applyAlignment="1">
      <alignment horizontal="right" vertical="center"/>
    </xf>
    <xf numFmtId="179" fontId="8" fillId="6" borderId="2" xfId="6" applyNumberFormat="1" applyFont="1" applyFill="1" applyBorder="1" applyAlignment="1">
      <alignment horizontal="right" vertical="center"/>
    </xf>
    <xf numFmtId="2" fontId="8" fillId="6" borderId="2" xfId="6" applyNumberFormat="1" applyFont="1" applyFill="1" applyBorder="1" applyAlignment="1">
      <alignment horizontal="right" vertical="center"/>
    </xf>
    <xf numFmtId="2" fontId="8" fillId="7" borderId="2" xfId="6" applyNumberFormat="1" applyFont="1" applyFill="1" applyBorder="1" applyAlignment="1">
      <alignment horizontal="right" vertical="center"/>
    </xf>
    <xf numFmtId="179" fontId="8" fillId="7" borderId="2" xfId="6" applyNumberFormat="1" applyFont="1" applyFill="1" applyBorder="1" applyAlignment="1">
      <alignment horizontal="right" vertical="center"/>
    </xf>
    <xf numFmtId="2" fontId="8" fillId="8" borderId="2" xfId="6" applyNumberFormat="1" applyFont="1" applyFill="1" applyBorder="1" applyAlignment="1">
      <alignment horizontal="right" vertical="center"/>
    </xf>
    <xf numFmtId="179" fontId="8" fillId="8" borderId="2" xfId="6" applyNumberFormat="1" applyFont="1" applyFill="1" applyBorder="1" applyAlignment="1">
      <alignment horizontal="right" vertical="center"/>
    </xf>
    <xf numFmtId="179" fontId="8" fillId="9" borderId="2" xfId="6" applyNumberFormat="1" applyFont="1" applyFill="1" applyBorder="1" applyAlignment="1">
      <alignment horizontal="right" vertical="center"/>
    </xf>
    <xf numFmtId="2" fontId="8" fillId="9" borderId="2" xfId="6" applyNumberFormat="1" applyFont="1" applyFill="1" applyBorder="1" applyAlignment="1">
      <alignment horizontal="right" vertical="center"/>
    </xf>
    <xf numFmtId="179" fontId="0" fillId="10" borderId="2" xfId="6" applyNumberFormat="1" applyFont="1" applyFill="1" applyBorder="1" applyAlignment="1">
      <alignment horizontal="right" vertical="center"/>
    </xf>
    <xf numFmtId="177" fontId="6" fillId="10" borderId="2" xfId="6" applyNumberFormat="1" applyFont="1" applyFill="1" applyBorder="1" applyAlignment="1">
      <alignment horizontal="right" vertical="center"/>
    </xf>
    <xf numFmtId="179" fontId="8" fillId="10" borderId="2" xfId="6" applyNumberFormat="1" applyFont="1" applyFill="1" applyBorder="1" applyAlignment="1">
      <alignment horizontal="right" vertical="center"/>
    </xf>
    <xf numFmtId="179" fontId="8" fillId="11" borderId="2" xfId="6" applyNumberFormat="1" applyFont="1" applyFill="1" applyBorder="1" applyAlignment="1">
      <alignment horizontal="right" vertical="center"/>
    </xf>
    <xf numFmtId="179" fontId="7" fillId="12" borderId="2" xfId="6" applyNumberFormat="1" applyFont="1" applyFill="1" applyBorder="1" applyAlignment="1">
      <alignment horizontal="right" vertical="center"/>
    </xf>
    <xf numFmtId="179" fontId="7" fillId="13" borderId="2" xfId="6" applyNumberFormat="1" applyFont="1" applyFill="1" applyBorder="1" applyAlignment="1">
      <alignment horizontal="right" vertical="center"/>
    </xf>
    <xf numFmtId="0" fontId="0" fillId="12" borderId="0" xfId="6" applyFont="1" applyFill="1" applyAlignment="1"/>
    <xf numFmtId="177" fontId="7" fillId="13" borderId="2" xfId="6" applyNumberFormat="1" applyFont="1" applyFill="1" applyBorder="1" applyAlignment="1">
      <alignment horizontal="right" vertical="center"/>
    </xf>
    <xf numFmtId="0" fontId="0" fillId="9" borderId="0" xfId="6" applyFont="1" applyFill="1" applyAlignment="1"/>
    <xf numFmtId="177" fontId="6" fillId="10" borderId="0" xfId="6" applyNumberFormat="1" applyFont="1" applyFill="1" applyAlignment="1"/>
    <xf numFmtId="181" fontId="8" fillId="9" borderId="0" xfId="6" applyNumberFormat="1" applyFont="1" applyFill="1" applyAlignment="1">
      <alignment horizontal="left" vertical="center"/>
    </xf>
    <xf numFmtId="0" fontId="0" fillId="10" borderId="0" xfId="6" applyFont="1" applyFill="1" applyAlignment="1"/>
    <xf numFmtId="179" fontId="8" fillId="12" borderId="2" xfId="6" applyNumberFormat="1" applyFont="1" applyFill="1" applyBorder="1" applyAlignment="1">
      <alignment horizontal="right" vertical="center"/>
    </xf>
    <xf numFmtId="177" fontId="6" fillId="12" borderId="2" xfId="6" applyNumberFormat="1" applyFont="1" applyFill="1" applyBorder="1" applyAlignment="1">
      <alignment horizontal="right" vertical="center"/>
    </xf>
    <xf numFmtId="179" fontId="6" fillId="12" borderId="2" xfId="6" applyNumberFormat="1" applyFont="1" applyFill="1" applyBorder="1" applyAlignment="1">
      <alignment horizontal="right" vertical="center"/>
    </xf>
    <xf numFmtId="179" fontId="0" fillId="12" borderId="2" xfId="6" applyNumberFormat="1" applyFont="1" applyFill="1" applyBorder="1" applyAlignment="1">
      <alignment horizontal="right" vertical="center"/>
    </xf>
    <xf numFmtId="0" fontId="0" fillId="3" borderId="0" xfId="6" applyFont="1" applyFill="1" applyAlignment="1">
      <alignment horizontal="left" vertical="center"/>
    </xf>
    <xf numFmtId="0" fontId="0" fillId="3" borderId="0" xfId="6" applyFont="1" applyFill="1" applyAlignment="1"/>
    <xf numFmtId="0" fontId="0" fillId="6" borderId="0" xfId="6" applyFont="1" applyFill="1" applyAlignment="1"/>
    <xf numFmtId="0" fontId="0" fillId="7" borderId="0" xfId="6" applyFont="1" applyFill="1" applyAlignment="1"/>
    <xf numFmtId="1" fontId="6" fillId="9" borderId="0" xfId="6" applyNumberFormat="1" applyFont="1" applyFill="1" applyAlignment="1">
      <alignment horizontal="center" vertical="center"/>
    </xf>
    <xf numFmtId="0" fontId="13" fillId="3" borderId="2" xfId="6" applyFont="1" applyFill="1" applyBorder="1" applyAlignment="1">
      <alignment horizontal="left" vertical="center"/>
    </xf>
    <xf numFmtId="179" fontId="0" fillId="3" borderId="2" xfId="6" applyNumberFormat="1" applyFont="1" applyFill="1" applyBorder="1" applyAlignment="1">
      <alignment horizontal="right" vertical="center"/>
    </xf>
    <xf numFmtId="0" fontId="13" fillId="3" borderId="2" xfId="6" applyFont="1" applyFill="1" applyBorder="1" applyAlignment="1"/>
    <xf numFmtId="0" fontId="12" fillId="2" borderId="0" xfId="6" applyFont="1" applyFill="1" applyAlignment="1">
      <alignment horizontal="center" vertical="center"/>
    </xf>
    <xf numFmtId="176" fontId="6" fillId="0" borderId="1" xfId="6" applyNumberFormat="1" applyFont="1" applyBorder="1" applyAlignment="1">
      <alignment horizontal="center" vertical="center"/>
    </xf>
    <xf numFmtId="180" fontId="6" fillId="0" borderId="1" xfId="6" applyNumberFormat="1" applyFont="1" applyBorder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left" vertical="center"/>
    </xf>
    <xf numFmtId="0" fontId="10" fillId="0" borderId="0" xfId="6" applyFont="1" applyAlignment="1">
      <alignment horizontal="left" vertical="center"/>
    </xf>
    <xf numFmtId="176" fontId="6" fillId="0" borderId="0" xfId="6" applyNumberFormat="1" applyFont="1" applyAlignment="1">
      <alignment horizontal="center" vertical="center"/>
    </xf>
    <xf numFmtId="179" fontId="6" fillId="0" borderId="0" xfId="6" applyNumberFormat="1" applyFont="1" applyAlignment="1">
      <alignment horizontal="center" vertical="center"/>
    </xf>
    <xf numFmtId="0" fontId="0" fillId="15" borderId="4" xfId="6" applyFont="1" applyFill="1" applyBorder="1"/>
    <xf numFmtId="0" fontId="16" fillId="17" borderId="5" xfId="6" applyFont="1" applyFill="1" applyBorder="1" applyAlignment="1">
      <alignment horizontal="left" vertical="center"/>
    </xf>
    <xf numFmtId="0" fontId="6" fillId="15" borderId="4" xfId="6" applyFont="1" applyFill="1" applyBorder="1" applyAlignment="1"/>
    <xf numFmtId="176" fontId="5" fillId="15" borderId="4" xfId="6" applyNumberFormat="1" applyFont="1" applyFill="1" applyBorder="1" applyAlignment="1">
      <alignment horizontal="left" vertical="center"/>
    </xf>
    <xf numFmtId="0" fontId="16" fillId="17" borderId="5" xfId="6" applyFont="1" applyFill="1" applyBorder="1" applyAlignment="1">
      <alignment horizontal="center" vertical="center"/>
    </xf>
    <xf numFmtId="178" fontId="5" fillId="15" borderId="5" xfId="6" applyNumberFormat="1" applyFont="1" applyFill="1" applyBorder="1" applyAlignment="1">
      <alignment horizontal="right" vertical="center"/>
    </xf>
    <xf numFmtId="3" fontId="5" fillId="15" borderId="4" xfId="6" applyNumberFormat="1" applyFont="1" applyFill="1" applyBorder="1" applyAlignment="1">
      <alignment horizontal="left" vertical="center"/>
    </xf>
    <xf numFmtId="0" fontId="4" fillId="15" borderId="4" xfId="6" applyFont="1" applyFill="1" applyBorder="1" applyAlignment="1">
      <alignment horizontal="center" vertical="center"/>
    </xf>
    <xf numFmtId="177" fontId="8" fillId="15" borderId="4" xfId="6" applyNumberFormat="1" applyFont="1" applyFill="1" applyBorder="1" applyAlignment="1">
      <alignment horizontal="left" vertical="center"/>
    </xf>
    <xf numFmtId="176" fontId="8" fillId="15" borderId="4" xfId="6" applyNumberFormat="1" applyFont="1" applyFill="1" applyBorder="1" applyAlignment="1">
      <alignment horizontal="left" vertical="center"/>
    </xf>
    <xf numFmtId="0" fontId="9" fillId="15" borderId="4" xfId="6" applyFont="1" applyFill="1" applyBorder="1" applyAlignment="1">
      <alignment horizontal="left" vertical="center"/>
    </xf>
    <xf numFmtId="0" fontId="5" fillId="15" borderId="4" xfId="6" applyFont="1" applyFill="1" applyBorder="1" applyAlignment="1">
      <alignment horizontal="left" vertical="center"/>
    </xf>
    <xf numFmtId="2" fontId="8" fillId="15" borderId="4" xfId="6" applyNumberFormat="1" applyFont="1" applyFill="1" applyBorder="1" applyAlignment="1">
      <alignment horizontal="left" vertical="center"/>
    </xf>
    <xf numFmtId="0" fontId="4" fillId="15" borderId="4" xfId="6" applyFont="1" applyFill="1" applyBorder="1" applyAlignment="1">
      <alignment horizontal="left" vertical="center"/>
    </xf>
    <xf numFmtId="0" fontId="5" fillId="15" borderId="4" xfId="6" applyFont="1" applyFill="1" applyBorder="1" applyAlignment="1">
      <alignment horizontal="center" vertical="center"/>
    </xf>
    <xf numFmtId="179" fontId="8" fillId="15" borderId="4" xfId="6" applyNumberFormat="1" applyFont="1" applyFill="1" applyBorder="1" applyAlignment="1">
      <alignment horizontal="left" vertical="center"/>
    </xf>
    <xf numFmtId="180" fontId="8" fillId="15" borderId="4" xfId="6" applyNumberFormat="1" applyFont="1" applyFill="1" applyBorder="1" applyAlignment="1">
      <alignment horizontal="left" vertical="center"/>
    </xf>
    <xf numFmtId="180" fontId="5" fillId="15" borderId="4" xfId="6" applyNumberFormat="1" applyFont="1" applyFill="1" applyBorder="1" applyAlignment="1">
      <alignment horizontal="left" vertical="center"/>
    </xf>
    <xf numFmtId="4" fontId="8" fillId="15" borderId="4" xfId="6" applyNumberFormat="1" applyFont="1" applyFill="1" applyBorder="1" applyAlignment="1">
      <alignment horizontal="left" vertical="center"/>
    </xf>
    <xf numFmtId="176" fontId="5" fillId="15" borderId="5" xfId="6" applyNumberFormat="1" applyFont="1" applyFill="1" applyBorder="1" applyAlignment="1">
      <alignment horizontal="right" vertical="center"/>
    </xf>
    <xf numFmtId="2" fontId="5" fillId="15" borderId="5" xfId="6" applyNumberFormat="1" applyFont="1" applyFill="1" applyBorder="1" applyAlignment="1">
      <alignment horizontal="right" vertical="center"/>
    </xf>
    <xf numFmtId="2" fontId="5" fillId="15" borderId="4" xfId="6" applyNumberFormat="1" applyFont="1" applyFill="1" applyBorder="1" applyAlignment="1">
      <alignment horizontal="left" vertical="center"/>
    </xf>
    <xf numFmtId="3" fontId="5" fillId="15" borderId="5" xfId="6" applyNumberFormat="1" applyFont="1" applyFill="1" applyBorder="1" applyAlignment="1">
      <alignment horizontal="right" vertical="center"/>
    </xf>
    <xf numFmtId="178" fontId="5" fillId="15" borderId="4" xfId="6" applyNumberFormat="1" applyFont="1" applyFill="1" applyBorder="1" applyAlignment="1">
      <alignment horizontal="left" vertical="center"/>
    </xf>
    <xf numFmtId="0" fontId="7" fillId="15" borderId="4" xfId="6" applyFont="1" applyFill="1" applyBorder="1" applyAlignment="1">
      <alignment horizontal="left" vertical="center"/>
    </xf>
    <xf numFmtId="177" fontId="6" fillId="15" borderId="4" xfId="6" applyNumberFormat="1" applyFont="1" applyFill="1" applyBorder="1" applyAlignment="1"/>
    <xf numFmtId="0" fontId="8" fillId="15" borderId="4" xfId="6" applyFont="1" applyFill="1" applyBorder="1" applyAlignment="1">
      <alignment horizontal="left" vertical="center"/>
    </xf>
    <xf numFmtId="1" fontId="5" fillId="15" borderId="5" xfId="6" applyNumberFormat="1" applyFont="1" applyFill="1" applyBorder="1" applyAlignment="1">
      <alignment horizontal="right" vertical="center"/>
    </xf>
    <xf numFmtId="1" fontId="5" fillId="15" borderId="4" xfId="6" applyNumberFormat="1" applyFont="1" applyFill="1" applyBorder="1" applyAlignment="1">
      <alignment horizontal="left" vertical="center"/>
    </xf>
    <xf numFmtId="179" fontId="17" fillId="9" borderId="2" xfId="6" applyNumberFormat="1" applyFont="1" applyFill="1" applyBorder="1" applyAlignment="1">
      <alignment horizontal="right" vertical="center"/>
    </xf>
    <xf numFmtId="0" fontId="11" fillId="5" borderId="2" xfId="6" applyFont="1" applyFill="1" applyBorder="1" applyAlignment="1">
      <alignment horizontal="left" vertical="center" wrapText="1"/>
    </xf>
    <xf numFmtId="0" fontId="11" fillId="5" borderId="2" xfId="6" applyFont="1" applyFill="1" applyBorder="1" applyAlignment="1">
      <alignment horizontal="center" vertical="center" wrapText="1"/>
    </xf>
    <xf numFmtId="0" fontId="12" fillId="5" borderId="2" xfId="6" applyFont="1" applyFill="1" applyBorder="1" applyAlignment="1">
      <alignment horizontal="center" vertical="center" wrapText="1"/>
    </xf>
    <xf numFmtId="0" fontId="0" fillId="0" borderId="0" xfId="6" applyFont="1" applyAlignment="1">
      <alignment wrapText="1"/>
    </xf>
    <xf numFmtId="0" fontId="1" fillId="0" borderId="4" xfId="8" applyAlignment="1"/>
    <xf numFmtId="0" fontId="0" fillId="0" borderId="4" xfId="9" applyFont="1" applyAlignment="1"/>
    <xf numFmtId="0" fontId="0" fillId="0" borderId="8" xfId="9" applyFont="1" applyBorder="1" applyAlignment="1"/>
    <xf numFmtId="0" fontId="0" fillId="0" borderId="9" xfId="9" applyFont="1" applyBorder="1" applyAlignment="1"/>
    <xf numFmtId="0" fontId="0" fillId="0" borderId="4" xfId="9" applyFont="1"/>
    <xf numFmtId="2" fontId="5" fillId="15" borderId="17" xfId="6" applyNumberFormat="1" applyFont="1" applyFill="1" applyBorder="1" applyAlignment="1">
      <alignment horizontal="right" vertical="center"/>
    </xf>
    <xf numFmtId="0" fontId="16" fillId="17" borderId="19" xfId="6" applyFont="1" applyFill="1" applyBorder="1" applyAlignment="1">
      <alignment horizontal="left" vertical="center"/>
    </xf>
    <xf numFmtId="177" fontId="5" fillId="15" borderId="18" xfId="6" applyNumberFormat="1" applyFont="1" applyFill="1" applyBorder="1" applyAlignment="1">
      <alignment horizontal="right" vertical="center"/>
    </xf>
    <xf numFmtId="4" fontId="5" fillId="15" borderId="18" xfId="6" applyNumberFormat="1" applyFont="1" applyFill="1" applyBorder="1" applyAlignment="1">
      <alignment horizontal="right" vertical="center"/>
    </xf>
    <xf numFmtId="4" fontId="5" fillId="15" borderId="21" xfId="6" applyNumberFormat="1" applyFont="1" applyFill="1" applyBorder="1" applyAlignment="1">
      <alignment horizontal="right" vertical="center"/>
    </xf>
    <xf numFmtId="0" fontId="5" fillId="18" borderId="20" xfId="6" applyFont="1" applyFill="1" applyBorder="1" applyAlignment="1">
      <alignment horizontal="left" vertical="center"/>
    </xf>
    <xf numFmtId="178" fontId="5" fillId="15" borderId="17" xfId="6" applyNumberFormat="1" applyFont="1" applyFill="1" applyBorder="1" applyAlignment="1">
      <alignment horizontal="right" vertical="center"/>
    </xf>
    <xf numFmtId="3" fontId="5" fillId="15" borderId="23" xfId="6" applyNumberFormat="1" applyFont="1" applyFill="1" applyBorder="1" applyAlignment="1">
      <alignment horizontal="right" vertical="center"/>
    </xf>
    <xf numFmtId="0" fontId="9" fillId="18" borderId="20" xfId="6" applyFont="1" applyFill="1" applyBorder="1" applyAlignment="1">
      <alignment horizontal="left" vertical="center"/>
    </xf>
    <xf numFmtId="0" fontId="16" fillId="17" borderId="23" xfId="6" applyFont="1" applyFill="1" applyBorder="1" applyAlignment="1">
      <alignment horizontal="center" vertical="center"/>
    </xf>
    <xf numFmtId="0" fontId="5" fillId="15" borderId="6" xfId="6" applyFont="1" applyFill="1" applyBorder="1" applyAlignment="1">
      <alignment horizontal="center" vertical="center"/>
    </xf>
    <xf numFmtId="0" fontId="5" fillId="15" borderId="5" xfId="6" applyFont="1" applyFill="1" applyBorder="1" applyAlignment="1">
      <alignment horizontal="center" vertical="center"/>
    </xf>
    <xf numFmtId="0" fontId="9" fillId="15" borderId="24" xfId="6" applyFont="1" applyFill="1" applyBorder="1" applyAlignment="1">
      <alignment horizontal="left" vertical="center"/>
    </xf>
    <xf numFmtId="0" fontId="5" fillId="15" borderId="7" xfId="6" applyFont="1" applyFill="1" applyBorder="1" applyAlignment="1">
      <alignment horizontal="center" vertical="center"/>
    </xf>
    <xf numFmtId="0" fontId="5" fillId="15" borderId="19" xfId="6" applyFont="1" applyFill="1" applyBorder="1" applyAlignment="1">
      <alignment horizontal="center" vertical="center"/>
    </xf>
    <xf numFmtId="0" fontId="9" fillId="15" borderId="23" xfId="6" applyFont="1" applyFill="1" applyBorder="1" applyAlignment="1">
      <alignment horizontal="left" vertical="center"/>
    </xf>
    <xf numFmtId="178" fontId="8" fillId="15" borderId="5" xfId="6" applyNumberFormat="1" applyFont="1" applyFill="1" applyBorder="1" applyAlignment="1">
      <alignment horizontal="center" vertical="center"/>
    </xf>
    <xf numFmtId="3" fontId="8" fillId="15" borderId="5" xfId="6" applyNumberFormat="1" applyFont="1" applyFill="1" applyBorder="1" applyAlignment="1">
      <alignment horizontal="center" vertical="center"/>
    </xf>
    <xf numFmtId="177" fontId="8" fillId="15" borderId="5" xfId="6" applyNumberFormat="1" applyFont="1" applyFill="1" applyBorder="1" applyAlignment="1">
      <alignment horizontal="center" vertical="center"/>
    </xf>
    <xf numFmtId="2" fontId="8" fillId="15" borderId="5" xfId="6" applyNumberFormat="1" applyFont="1" applyFill="1" applyBorder="1" applyAlignment="1">
      <alignment horizontal="center" vertical="center"/>
    </xf>
    <xf numFmtId="179" fontId="8" fillId="15" borderId="5" xfId="6" applyNumberFormat="1" applyFont="1" applyFill="1" applyBorder="1" applyAlignment="1">
      <alignment horizontal="center" vertical="center"/>
    </xf>
    <xf numFmtId="0" fontId="16" fillId="17" borderId="5" xfId="6" applyFont="1" applyFill="1" applyBorder="1" applyAlignment="1">
      <alignment horizontal="center" vertical="center" wrapText="1"/>
    </xf>
    <xf numFmtId="0" fontId="26" fillId="17" borderId="19" xfId="6" applyFont="1" applyFill="1" applyBorder="1" applyAlignment="1">
      <alignment horizontal="left" vertical="center"/>
    </xf>
    <xf numFmtId="177" fontId="8" fillId="19" borderId="18" xfId="6" applyNumberFormat="1" applyFont="1" applyFill="1" applyBorder="1" applyAlignment="1">
      <alignment horizontal="right" vertical="center"/>
    </xf>
    <xf numFmtId="180" fontId="8" fillId="19" borderId="22" xfId="6" applyNumberFormat="1" applyFont="1" applyFill="1" applyBorder="1" applyAlignment="1">
      <alignment horizontal="right" vertical="center"/>
    </xf>
    <xf numFmtId="177" fontId="8" fillId="19" borderId="5" xfId="6" applyNumberFormat="1" applyFont="1" applyFill="1" applyBorder="1" applyAlignment="1">
      <alignment horizontal="right" vertical="center"/>
    </xf>
    <xf numFmtId="178" fontId="8" fillId="19" borderId="5" xfId="6" applyNumberFormat="1" applyFont="1" applyFill="1" applyBorder="1" applyAlignment="1">
      <alignment horizontal="right" vertical="center"/>
    </xf>
    <xf numFmtId="180" fontId="8" fillId="19" borderId="5" xfId="6" applyNumberFormat="1" applyFont="1" applyFill="1" applyBorder="1" applyAlignment="1">
      <alignment horizontal="right" vertical="center"/>
    </xf>
    <xf numFmtId="2" fontId="8" fillId="19" borderId="17" xfId="6" applyNumberFormat="1" applyFont="1" applyFill="1" applyBorder="1" applyAlignment="1">
      <alignment horizontal="right" vertical="center"/>
    </xf>
    <xf numFmtId="2" fontId="8" fillId="19" borderId="5" xfId="6" applyNumberFormat="1" applyFont="1" applyFill="1" applyBorder="1" applyAlignment="1">
      <alignment horizontal="right" vertical="center"/>
    </xf>
    <xf numFmtId="0" fontId="12" fillId="2" borderId="0" xfId="6" applyFont="1" applyFill="1" applyAlignment="1">
      <alignment horizontal="center" vertical="center" wrapText="1"/>
    </xf>
    <xf numFmtId="0" fontId="29" fillId="2" borderId="0" xfId="6" applyFont="1" applyFill="1" applyAlignment="1">
      <alignment horizontal="center" vertical="center"/>
    </xf>
    <xf numFmtId="3" fontId="8" fillId="19" borderId="5" xfId="6" applyNumberFormat="1" applyFont="1" applyFill="1" applyBorder="1" applyAlignment="1">
      <alignment horizontal="right" vertical="center"/>
    </xf>
    <xf numFmtId="182" fontId="5" fillId="15" borderId="5" xfId="6" applyNumberFormat="1" applyFont="1" applyFill="1" applyBorder="1" applyAlignment="1">
      <alignment horizontal="right" vertical="center"/>
    </xf>
    <xf numFmtId="0" fontId="0" fillId="8" borderId="4" xfId="6" applyFont="1" applyFill="1" applyBorder="1" applyAlignment="1">
      <alignment horizontal="right" vertical="center"/>
    </xf>
    <xf numFmtId="2" fontId="8" fillId="8" borderId="25" xfId="6" applyNumberFormat="1" applyFont="1" applyFill="1" applyBorder="1" applyAlignment="1">
      <alignment horizontal="right" vertical="center"/>
    </xf>
    <xf numFmtId="179" fontId="8" fillId="8" borderId="25" xfId="6" applyNumberFormat="1" applyFont="1" applyFill="1" applyBorder="1" applyAlignment="1">
      <alignment horizontal="right" vertical="center"/>
    </xf>
    <xf numFmtId="177" fontId="7" fillId="19" borderId="2" xfId="6" applyNumberFormat="1" applyFont="1" applyFill="1" applyBorder="1" applyAlignment="1">
      <alignment horizontal="right" vertical="center"/>
    </xf>
    <xf numFmtId="179" fontId="7" fillId="19" borderId="2" xfId="6" applyNumberFormat="1" applyFont="1" applyFill="1" applyBorder="1" applyAlignment="1">
      <alignment horizontal="right" vertical="center"/>
    </xf>
    <xf numFmtId="177" fontId="8" fillId="19" borderId="2" xfId="6" applyNumberFormat="1" applyFont="1" applyFill="1" applyBorder="1" applyAlignment="1">
      <alignment horizontal="right" vertical="center"/>
    </xf>
    <xf numFmtId="179" fontId="8" fillId="19" borderId="2" xfId="6" applyNumberFormat="1" applyFont="1" applyFill="1" applyBorder="1" applyAlignment="1">
      <alignment horizontal="right" vertical="center"/>
    </xf>
    <xf numFmtId="0" fontId="0" fillId="19" borderId="2" xfId="6" applyFont="1" applyFill="1" applyBorder="1" applyAlignment="1">
      <alignment horizontal="right" vertical="center"/>
    </xf>
    <xf numFmtId="0" fontId="30" fillId="5" borderId="5" xfId="6" applyFont="1" applyFill="1" applyBorder="1" applyAlignment="1">
      <alignment horizontal="center" vertical="center" wrapText="1"/>
    </xf>
    <xf numFmtId="0" fontId="29" fillId="5" borderId="5" xfId="6" applyFont="1" applyFill="1" applyBorder="1" applyAlignment="1">
      <alignment horizontal="center" vertical="center" wrapText="1"/>
    </xf>
    <xf numFmtId="177" fontId="7" fillId="9" borderId="5" xfId="7" applyNumberFormat="1" applyFont="1" applyFill="1" applyBorder="1" applyAlignment="1">
      <alignment horizontal="right" vertical="center"/>
    </xf>
    <xf numFmtId="9" fontId="0" fillId="3" borderId="2" xfId="7" applyFont="1" applyFill="1" applyBorder="1" applyAlignment="1">
      <alignment horizontal="right" vertical="center"/>
    </xf>
    <xf numFmtId="176" fontId="7" fillId="3" borderId="2" xfId="6" applyNumberFormat="1" applyFont="1" applyFill="1" applyBorder="1" applyAlignment="1">
      <alignment horizontal="center" vertical="center"/>
    </xf>
    <xf numFmtId="179" fontId="7" fillId="3" borderId="2" xfId="6" applyNumberFormat="1" applyFont="1" applyFill="1" applyBorder="1" applyAlignment="1">
      <alignment horizontal="center" vertical="center"/>
    </xf>
    <xf numFmtId="176" fontId="8" fillId="3" borderId="2" xfId="6" applyNumberFormat="1" applyFont="1" applyFill="1" applyBorder="1" applyAlignment="1">
      <alignment horizontal="center" vertical="center"/>
    </xf>
    <xf numFmtId="179" fontId="8" fillId="3" borderId="2" xfId="6" applyNumberFormat="1" applyFont="1" applyFill="1" applyBorder="1" applyAlignment="1">
      <alignment horizontal="center" vertical="center"/>
    </xf>
    <xf numFmtId="2" fontId="7" fillId="3" borderId="2" xfId="6" applyNumberFormat="1" applyFont="1" applyFill="1" applyBorder="1" applyAlignment="1">
      <alignment horizontal="center" vertical="center"/>
    </xf>
    <xf numFmtId="2" fontId="8" fillId="3" borderId="2" xfId="6" applyNumberFormat="1" applyFont="1" applyFill="1" applyBorder="1" applyAlignment="1">
      <alignment horizontal="center" vertical="center"/>
    </xf>
    <xf numFmtId="0" fontId="33" fillId="5" borderId="2" xfId="6" applyFont="1" applyFill="1" applyBorder="1" applyAlignment="1">
      <alignment horizontal="center" vertical="center" wrapText="1"/>
    </xf>
    <xf numFmtId="0" fontId="34" fillId="6" borderId="2" xfId="6" applyFont="1" applyFill="1" applyBorder="1" applyAlignment="1">
      <alignment horizontal="center" vertical="center"/>
    </xf>
    <xf numFmtId="0" fontId="34" fillId="7" borderId="2" xfId="6" applyFont="1" applyFill="1" applyBorder="1" applyAlignment="1">
      <alignment horizontal="center" vertical="center"/>
    </xf>
    <xf numFmtId="0" fontId="34" fillId="8" borderId="2" xfId="6" applyFont="1" applyFill="1" applyBorder="1" applyAlignment="1">
      <alignment horizontal="center" vertical="center"/>
    </xf>
    <xf numFmtId="0" fontId="34" fillId="9" borderId="2" xfId="6" applyFont="1" applyFill="1" applyBorder="1" applyAlignment="1">
      <alignment horizontal="center" vertical="center"/>
    </xf>
    <xf numFmtId="0" fontId="37" fillId="0" borderId="0" xfId="6" applyFont="1"/>
    <xf numFmtId="0" fontId="38" fillId="0" borderId="0" xfId="6" applyFont="1" applyAlignment="1"/>
    <xf numFmtId="0" fontId="37" fillId="0" borderId="0" xfId="0" applyFont="1" applyAlignment="1"/>
    <xf numFmtId="0" fontId="37" fillId="0" borderId="0" xfId="6" applyFont="1" applyAlignment="1"/>
    <xf numFmtId="0" fontId="21" fillId="0" borderId="0" xfId="6" applyFont="1" applyAlignment="1"/>
    <xf numFmtId="0" fontId="39" fillId="5" borderId="2" xfId="6" applyFont="1" applyFill="1" applyBorder="1" applyAlignment="1">
      <alignment horizontal="center" vertical="center"/>
    </xf>
    <xf numFmtId="0" fontId="39" fillId="5" borderId="2" xfId="6" applyFont="1" applyFill="1" applyBorder="1" applyAlignment="1">
      <alignment horizontal="center" vertical="center" wrapText="1"/>
    </xf>
    <xf numFmtId="0" fontId="21" fillId="6" borderId="2" xfId="6" applyFont="1" applyFill="1" applyBorder="1" applyAlignment="1">
      <alignment horizontal="left" vertical="center"/>
    </xf>
    <xf numFmtId="179" fontId="37" fillId="6" borderId="2" xfId="6" applyNumberFormat="1" applyFont="1" applyFill="1" applyBorder="1" applyAlignment="1">
      <alignment horizontal="right" vertical="center"/>
    </xf>
    <xf numFmtId="178" fontId="37" fillId="6" borderId="2" xfId="6" applyNumberFormat="1" applyFont="1" applyFill="1" applyBorder="1" applyAlignment="1">
      <alignment horizontal="right" vertical="center"/>
    </xf>
    <xf numFmtId="181" fontId="37" fillId="6" borderId="2" xfId="6" applyNumberFormat="1" applyFont="1" applyFill="1" applyBorder="1" applyAlignment="1">
      <alignment horizontal="right" vertical="center"/>
    </xf>
    <xf numFmtId="0" fontId="37" fillId="12" borderId="2" xfId="6" applyFont="1" applyFill="1" applyBorder="1" applyAlignment="1">
      <alignment horizontal="center" vertical="center"/>
    </xf>
    <xf numFmtId="179" fontId="37" fillId="12" borderId="2" xfId="6" applyNumberFormat="1" applyFont="1" applyFill="1" applyBorder="1" applyAlignment="1">
      <alignment horizontal="right" vertical="center"/>
    </xf>
    <xf numFmtId="0" fontId="21" fillId="7" borderId="2" xfId="6" applyFont="1" applyFill="1" applyBorder="1" applyAlignment="1">
      <alignment horizontal="left" vertical="center"/>
    </xf>
    <xf numFmtId="179" fontId="37" fillId="7" borderId="2" xfId="6" applyNumberFormat="1" applyFont="1" applyFill="1" applyBorder="1" applyAlignment="1">
      <alignment horizontal="right" vertical="center"/>
    </xf>
    <xf numFmtId="178" fontId="37" fillId="7" borderId="2" xfId="6" applyNumberFormat="1" applyFont="1" applyFill="1" applyBorder="1" applyAlignment="1">
      <alignment horizontal="right" vertical="center"/>
    </xf>
    <xf numFmtId="181" fontId="37" fillId="7" borderId="2" xfId="6" applyNumberFormat="1" applyFont="1" applyFill="1" applyBorder="1" applyAlignment="1">
      <alignment horizontal="right" vertical="center"/>
    </xf>
    <xf numFmtId="0" fontId="21" fillId="8" borderId="2" xfId="6" applyFont="1" applyFill="1" applyBorder="1" applyAlignment="1">
      <alignment horizontal="left" vertical="center"/>
    </xf>
    <xf numFmtId="179" fontId="37" fillId="8" borderId="2" xfId="6" applyNumberFormat="1" applyFont="1" applyFill="1" applyBorder="1" applyAlignment="1">
      <alignment horizontal="right" vertical="center"/>
    </xf>
    <xf numFmtId="178" fontId="37" fillId="8" borderId="2" xfId="6" applyNumberFormat="1" applyFont="1" applyFill="1" applyBorder="1" applyAlignment="1">
      <alignment horizontal="right" vertical="center"/>
    </xf>
    <xf numFmtId="181" fontId="37" fillId="8" borderId="2" xfId="6" applyNumberFormat="1" applyFont="1" applyFill="1" applyBorder="1" applyAlignment="1">
      <alignment horizontal="right" vertical="center"/>
    </xf>
    <xf numFmtId="0" fontId="21" fillId="9" borderId="2" xfId="6" applyFont="1" applyFill="1" applyBorder="1" applyAlignment="1">
      <alignment horizontal="left" vertical="center"/>
    </xf>
    <xf numFmtId="179" fontId="37" fillId="9" borderId="2" xfId="6" applyNumberFormat="1" applyFont="1" applyFill="1" applyBorder="1" applyAlignment="1">
      <alignment horizontal="right" vertical="center"/>
    </xf>
    <xf numFmtId="178" fontId="37" fillId="9" borderId="2" xfId="6" applyNumberFormat="1" applyFont="1" applyFill="1" applyBorder="1" applyAlignment="1">
      <alignment horizontal="right" vertical="center"/>
    </xf>
    <xf numFmtId="181" fontId="37" fillId="9" borderId="2" xfId="6" applyNumberFormat="1" applyFont="1" applyFill="1" applyBorder="1" applyAlignment="1">
      <alignment horizontal="right" vertical="center"/>
    </xf>
    <xf numFmtId="0" fontId="39" fillId="2" borderId="3" xfId="6" applyFont="1" applyFill="1" applyBorder="1" applyAlignment="1"/>
    <xf numFmtId="177" fontId="37" fillId="0" borderId="0" xfId="7" applyNumberFormat="1" applyFont="1" applyAlignment="1"/>
    <xf numFmtId="0" fontId="37" fillId="3" borderId="3" xfId="6" applyFont="1" applyFill="1" applyBorder="1" applyAlignment="1"/>
    <xf numFmtId="177" fontId="37" fillId="14" borderId="3" xfId="6" applyNumberFormat="1" applyFont="1" applyFill="1" applyBorder="1" applyAlignment="1"/>
    <xf numFmtId="0" fontId="21" fillId="10" borderId="2" xfId="6" applyFont="1" applyFill="1" applyBorder="1" applyAlignment="1">
      <alignment horizontal="left" vertical="center"/>
    </xf>
    <xf numFmtId="179" fontId="37" fillId="10" borderId="2" xfId="6" applyNumberFormat="1" applyFont="1" applyFill="1" applyBorder="1" applyAlignment="1">
      <alignment horizontal="right" vertical="center"/>
    </xf>
    <xf numFmtId="181" fontId="37" fillId="10" borderId="2" xfId="6" applyNumberFormat="1" applyFont="1" applyFill="1" applyBorder="1" applyAlignment="1">
      <alignment horizontal="right" vertical="center"/>
    </xf>
    <xf numFmtId="177" fontId="37" fillId="10" borderId="2" xfId="6" applyNumberFormat="1" applyFont="1" applyFill="1" applyBorder="1" applyAlignment="1">
      <alignment horizontal="right" vertical="center"/>
    </xf>
    <xf numFmtId="0" fontId="43" fillId="0" borderId="10" xfId="9" applyFont="1" applyBorder="1" applyAlignment="1">
      <alignment vertical="center" wrapText="1"/>
    </xf>
    <xf numFmtId="0" fontId="45" fillId="0" borderId="11" xfId="9" applyFont="1" applyBorder="1" applyAlignment="1">
      <alignment vertical="center"/>
    </xf>
    <xf numFmtId="0" fontId="45" fillId="0" borderId="13" xfId="9" applyFont="1" applyBorder="1" applyAlignment="1">
      <alignment vertical="center"/>
    </xf>
    <xf numFmtId="0" fontId="47" fillId="0" borderId="11" xfId="9" applyFont="1" applyBorder="1" applyAlignment="1">
      <alignment vertical="center"/>
    </xf>
    <xf numFmtId="0" fontId="43" fillId="0" borderId="12" xfId="9" applyFont="1" applyBorder="1" applyAlignment="1">
      <alignment vertical="center" wrapText="1"/>
    </xf>
    <xf numFmtId="0" fontId="44" fillId="0" borderId="10" xfId="9" applyFont="1" applyBorder="1" applyAlignment="1">
      <alignment vertical="center" wrapText="1"/>
    </xf>
    <xf numFmtId="0" fontId="45" fillId="0" borderId="26" xfId="9" applyFont="1" applyBorder="1" applyAlignment="1">
      <alignment vertical="center"/>
    </xf>
    <xf numFmtId="0" fontId="43" fillId="0" borderId="27" xfId="9" applyFont="1" applyBorder="1" applyAlignment="1">
      <alignment vertical="center" wrapText="1"/>
    </xf>
    <xf numFmtId="0" fontId="48" fillId="0" borderId="4" xfId="9" applyFont="1"/>
    <xf numFmtId="0" fontId="14" fillId="0" borderId="4" xfId="9" applyFont="1" applyAlignment="1"/>
    <xf numFmtId="0" fontId="6" fillId="0" borderId="4" xfId="6" applyFont="1" applyBorder="1" applyAlignment="1"/>
    <xf numFmtId="0" fontId="49" fillId="0" borderId="20" xfId="6" applyFont="1" applyBorder="1" applyAlignment="1"/>
    <xf numFmtId="0" fontId="21" fillId="20" borderId="11" xfId="9" applyFont="1" applyFill="1" applyBorder="1" applyAlignment="1">
      <alignment vertical="center"/>
    </xf>
    <xf numFmtId="0" fontId="20" fillId="20" borderId="10" xfId="9" applyFont="1" applyFill="1" applyBorder="1" applyAlignment="1">
      <alignment vertical="center" wrapText="1"/>
    </xf>
    <xf numFmtId="0" fontId="24" fillId="20" borderId="13" xfId="9" applyFont="1" applyFill="1" applyBorder="1" applyAlignment="1">
      <alignment horizontal="center" vertical="center" wrapText="1"/>
    </xf>
    <xf numFmtId="0" fontId="23" fillId="20" borderId="12" xfId="9" applyFont="1" applyFill="1" applyBorder="1" applyAlignment="1">
      <alignment horizontal="center" vertical="center" wrapText="1"/>
    </xf>
    <xf numFmtId="0" fontId="0" fillId="20" borderId="4" xfId="9" applyFont="1" applyFill="1" applyAlignment="1"/>
    <xf numFmtId="0" fontId="56" fillId="16" borderId="4" xfId="9" applyFont="1" applyFill="1" applyAlignment="1">
      <alignment horizontal="center" vertical="center"/>
    </xf>
    <xf numFmtId="0" fontId="57" fillId="16" borderId="4" xfId="9" applyFont="1" applyFill="1" applyAlignment="1">
      <alignment horizontal="center" vertical="center"/>
    </xf>
    <xf numFmtId="0" fontId="54" fillId="0" borderId="15" xfId="9" applyFont="1" applyBorder="1" applyAlignment="1">
      <alignment horizontal="center" vertical="center" wrapText="1"/>
    </xf>
    <xf numFmtId="0" fontId="55" fillId="0" borderId="14" xfId="9" applyFont="1" applyBorder="1" applyAlignment="1">
      <alignment horizontal="center" vertical="center" wrapText="1"/>
    </xf>
    <xf numFmtId="0" fontId="19" fillId="0" borderId="11" xfId="9" applyFont="1" applyFill="1" applyBorder="1" applyAlignment="1">
      <alignment horizontal="center" vertical="center" wrapText="1"/>
    </xf>
    <xf numFmtId="0" fontId="19" fillId="0" borderId="4" xfId="9" applyFont="1" applyFill="1" applyBorder="1" applyAlignment="1">
      <alignment horizontal="center" vertical="center" wrapText="1"/>
    </xf>
    <xf numFmtId="0" fontId="19" fillId="0" borderId="10" xfId="9" applyFont="1" applyFill="1" applyBorder="1" applyAlignment="1">
      <alignment horizontal="center" vertical="center" wrapText="1"/>
    </xf>
    <xf numFmtId="0" fontId="19" fillId="19" borderId="9" xfId="9" applyFont="1" applyFill="1" applyBorder="1" applyAlignment="1">
      <alignment horizontal="center" vertical="center" wrapText="1"/>
    </xf>
    <xf numFmtId="0" fontId="19" fillId="19" borderId="29" xfId="9" applyFont="1" applyFill="1" applyBorder="1" applyAlignment="1">
      <alignment horizontal="center" vertical="center" wrapText="1"/>
    </xf>
    <xf numFmtId="0" fontId="19" fillId="19" borderId="8" xfId="9" applyFont="1" applyFill="1" applyBorder="1" applyAlignment="1">
      <alignment horizontal="center" vertical="center" wrapText="1"/>
    </xf>
    <xf numFmtId="0" fontId="15" fillId="16" borderId="5" xfId="6" applyFont="1" applyFill="1" applyBorder="1" applyAlignment="1">
      <alignment horizontal="center" vertical="center"/>
    </xf>
    <xf numFmtId="0" fontId="0" fillId="0" borderId="6" xfId="6" applyFont="1" applyBorder="1"/>
    <xf numFmtId="0" fontId="0" fillId="0" borderId="16" xfId="6" applyFont="1" applyBorder="1"/>
    <xf numFmtId="0" fontId="15" fillId="16" borderId="5" xfId="6" applyFont="1" applyFill="1" applyBorder="1" applyAlignment="1">
      <alignment horizontal="left" vertical="center"/>
    </xf>
    <xf numFmtId="0" fontId="0" fillId="0" borderId="7" xfId="6" applyFont="1" applyBorder="1"/>
    <xf numFmtId="0" fontId="19" fillId="18" borderId="13" xfId="9" applyFont="1" applyFill="1" applyBorder="1" applyAlignment="1">
      <alignment horizontal="center" vertical="center" wrapText="1"/>
    </xf>
    <xf numFmtId="0" fontId="19" fillId="18" borderId="28" xfId="9" applyFont="1" applyFill="1" applyBorder="1" applyAlignment="1">
      <alignment horizontal="center" vertical="center" wrapText="1"/>
    </xf>
    <xf numFmtId="0" fontId="19" fillId="18" borderId="12" xfId="9" applyFont="1" applyFill="1" applyBorder="1" applyAlignment="1">
      <alignment horizontal="center" vertical="center" wrapText="1"/>
    </xf>
    <xf numFmtId="0" fontId="37" fillId="0" borderId="4" xfId="6" applyFont="1" applyBorder="1" applyAlignment="1">
      <alignment horizontal="left" vertical="top" wrapText="1"/>
    </xf>
  </cellXfs>
  <cellStyles count="10">
    <cellStyle name="Comma" xfId="1" xr:uid="{00000000-0005-0000-0000-000001000000}"/>
    <cellStyle name="Comma [0]" xfId="2" xr:uid="{00000000-0005-0000-0000-000002000000}"/>
    <cellStyle name="Currency" xfId="3" xr:uid="{00000000-0005-0000-0000-000003000000}"/>
    <cellStyle name="Currency [0]" xfId="4" xr:uid="{00000000-0005-0000-0000-000004000000}"/>
    <cellStyle name="Normal" xfId="6" xr:uid="{00000000-0005-0000-0000-000000000000}"/>
    <cellStyle name="Normal 2" xfId="9" xr:uid="{6F694FED-FB06-42C2-86E8-CB6989FBC6E4}"/>
    <cellStyle name="Percent" xfId="5" xr:uid="{00000000-0005-0000-0000-000005000000}"/>
    <cellStyle name="一般" xfId="0" builtinId="0"/>
    <cellStyle name="一般 2" xfId="8" xr:uid="{722A8702-F45B-4794-81CF-457896102217}"/>
    <cellStyle name="百分比" xfId="7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3F8FC"/>
      <rgbColor rgb="FFFF00FF"/>
      <rgbColor rgb="FF00FFFF"/>
      <rgbColor rgb="FF800000"/>
      <rgbColor rgb="FF008000"/>
      <rgbColor rgb="FF000080"/>
      <rgbColor rgb="FF666666"/>
      <rgbColor rgb="FF800080"/>
      <rgbColor rgb="FF008080"/>
      <rgbColor rgb="FFBFBFBF"/>
      <rgbColor rgb="FF808080"/>
      <rgbColor rgb="FFD9EAD3"/>
      <rgbColor rgb="FFC0504D"/>
      <rgbColor rgb="FFFFF2CC"/>
      <rgbColor rgb="FFD9EAF7"/>
      <rgbColor rgb="FF660066"/>
      <rgbColor rgb="FFFF8080"/>
      <rgbColor rgb="FF0066CC"/>
      <rgbColor rgb="FFD9D2E9"/>
      <rgbColor rgb="FF000080"/>
      <rgbColor rgb="FFFF00FF"/>
      <rgbColor rgb="FFF7FBFF"/>
      <rgbColor rgb="FF00FFFF"/>
      <rgbColor rgb="FF800080"/>
      <rgbColor rgb="FF800000"/>
      <rgbColor rgb="FF008080"/>
      <rgbColor rgb="FF0000FF"/>
      <rgbColor rgb="FF00CCFF"/>
      <rgbColor rgb="FFDDEBF7"/>
      <rgbColor rgb="FFE2F0D9"/>
      <rgbColor rgb="FFFCE4D6"/>
      <rgbColor rgb="FFB7C9D6"/>
      <rgbColor rgb="FFE4DFEC"/>
      <rgbColor rgb="FFD9D9D9"/>
      <rgbColor rgb="FFF4CCCC"/>
      <rgbColor rgb="FF4F81BD"/>
      <rgbColor rgb="FF33CCCC"/>
      <rgbColor rgb="FF9BBB59"/>
      <rgbColor rgb="FFFFCC00"/>
      <rgbColor rgb="FFFF9900"/>
      <rgbColor rgb="FFFF6600"/>
      <rgbColor rgb="FF8064A2"/>
      <rgbColor rgb="FFB3B3B3"/>
      <rgbColor rgb="FF003366"/>
      <rgbColor rgb="FF339966"/>
      <rgbColor rgb="FF003300"/>
      <rgbColor rgb="FF333300"/>
      <rgbColor rgb="FF993300"/>
      <rgbColor rgb="FF993366"/>
      <rgbColor rgb="FF1F4E78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b="1"/>
              <a:t>全年日長</a:t>
            </a:r>
          </a:p>
        </c:rich>
      </c:tx>
      <c:layout>
        <c:manualLayout>
          <c:xMode val="edge"/>
          <c:yMode val="edge"/>
          <c:x val="0.85700787401574807"/>
          <c:y val="5.265339966832504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8.9316500241939031E-2"/>
          <c:y val="5.7918739635157548E-2"/>
          <c:w val="0.8861024941714688"/>
          <c:h val="0.79584577114427857"/>
        </c:manualLayout>
      </c:layout>
      <c:lineChart>
        <c:grouping val="standard"/>
        <c:varyColors val="1"/>
        <c:ser>
          <c:idx val="0"/>
          <c:order val="0"/>
          <c:tx>
            <c:strRef>
              <c:f>[1]Dashboard_Data!$B$1</c:f>
              <c:strCache>
                <c:ptCount val="1"/>
                <c:pt idx="0">
                  <c:v>日長(h)</c:v>
                </c:pt>
              </c:strCache>
            </c:strRef>
          </c:tx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F0-48D3-9225-186B25E5C8BB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F0-48D3-9225-186B25E5C8BB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F0-48D3-9225-186B25E5C8BB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F0-48D3-9225-186B25E5C8BB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28575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F0-48D3-9225-186B25E5C8BB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CF0-48D3-9225-186B25E5C8BB}"/>
              </c:ext>
            </c:extLst>
          </c:dPt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chemeClr val="accent1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9CF0-48D3-9225-186B25E5C8BB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chemeClr val="accent2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9CF0-48D3-9225-186B25E5C8BB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chemeClr val="accent3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9CF0-48D3-9225-186B25E5C8BB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chemeClr val="accent4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9CF0-48D3-9225-186B25E5C8BB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chemeClr val="accent5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9CF0-48D3-9225-186B25E5C8BB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chemeClr val="accent6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9CF0-48D3-9225-186B25E5C8BB}"/>
              </c:ext>
            </c:extLst>
          </c:dPt>
          <c:cat>
            <c:strRef>
              <c:f>[1]Dashboard_Data!$A$2:$A$13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[1]Dashboard_Data!$B$2:$B$13</c:f>
              <c:numCache>
                <c:formatCode>General</c:formatCode>
                <c:ptCount val="12"/>
                <c:pt idx="0">
                  <c:v>8.8537821615987085</c:v>
                </c:pt>
                <c:pt idx="1">
                  <c:v>10.076347370518198</c:v>
                </c:pt>
                <c:pt idx="2">
                  <c:v>11.613026853675777</c:v>
                </c:pt>
                <c:pt idx="3">
                  <c:v>13.30901447935452</c:v>
                </c:pt>
                <c:pt idx="4">
                  <c:v>14.730889231542944</c:v>
                </c:pt>
                <c:pt idx="5">
                  <c:v>15.507528199951469</c:v>
                </c:pt>
                <c:pt idx="6">
                  <c:v>15.189047483121184</c:v>
                </c:pt>
                <c:pt idx="7">
                  <c:v>13.94823082498219</c:v>
                </c:pt>
                <c:pt idx="8">
                  <c:v>12.304188774702085</c:v>
                </c:pt>
                <c:pt idx="9">
                  <c:v>10.664584266349797</c:v>
                </c:pt>
                <c:pt idx="10">
                  <c:v>9.2107817269280599</c:v>
                </c:pt>
                <c:pt idx="11">
                  <c:v>8.4886967693202315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8-9CF0-48D3-9225-186B25E5C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h/day</a:t>
                </a:r>
              </a:p>
            </c:rich>
          </c:tx>
          <c:overlay val="1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/>
              <a:t>月別日夜溫與月均溫</a:t>
            </a:r>
          </a:p>
        </c:rich>
      </c:tx>
      <c:layout>
        <c:manualLayout>
          <c:xMode val="edge"/>
          <c:yMode val="edge"/>
          <c:x val="9.4730813287514315E-2"/>
          <c:y val="3.6857379767827526E-2"/>
        </c:manualLayout>
      </c:layout>
      <c:overlay val="1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1006124234470701E-2"/>
          <c:y val="5.7918739635157548E-2"/>
          <c:w val="0.88379341757538044"/>
          <c:h val="0.76371724709784417"/>
        </c:manualLayout>
      </c:layout>
      <c:lineChart>
        <c:grouping val="standard"/>
        <c:varyColors val="1"/>
        <c:ser>
          <c:idx val="0"/>
          <c:order val="0"/>
          <c:tx>
            <c:strRef>
              <c:f>[1]Dashboard_Data!$E$1</c:f>
              <c:strCache>
                <c:ptCount val="1"/>
                <c:pt idx="0">
                  <c:v>日外氣(°C)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[1]Dashboard_Data!$D$2:$D$13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[1]Dashboard_Data!$E$2:$E$13</c:f>
              <c:numCache>
                <c:formatCode>General</c:formatCode>
                <c:ptCount val="12"/>
                <c:pt idx="0">
                  <c:v>-14.3</c:v>
                </c:pt>
                <c:pt idx="1">
                  <c:v>-9</c:v>
                </c:pt>
                <c:pt idx="2">
                  <c:v>-0.20000000000000018</c:v>
                </c:pt>
                <c:pt idx="3">
                  <c:v>10.199999999999999</c:v>
                </c:pt>
                <c:pt idx="4">
                  <c:v>18</c:v>
                </c:pt>
                <c:pt idx="5">
                  <c:v>24.1</c:v>
                </c:pt>
                <c:pt idx="6">
                  <c:v>27</c:v>
                </c:pt>
                <c:pt idx="7">
                  <c:v>25.6</c:v>
                </c:pt>
                <c:pt idx="8">
                  <c:v>18.7</c:v>
                </c:pt>
                <c:pt idx="9">
                  <c:v>9.8000000000000007</c:v>
                </c:pt>
                <c:pt idx="10">
                  <c:v>-1.7999999999999998</c:v>
                </c:pt>
                <c:pt idx="11">
                  <c:v>-10.9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318-40D1-9873-2B10175F3E23}"/>
            </c:ext>
          </c:extLst>
        </c:ser>
        <c:ser>
          <c:idx val="1"/>
          <c:order val="1"/>
          <c:tx>
            <c:strRef>
              <c:f>[1]Dashboard_Data!$F$1</c:f>
              <c:strCache>
                <c:ptCount val="1"/>
                <c:pt idx="0">
                  <c:v>夜外氣(°C)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[1]Dashboard_Data!$D$2:$D$13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[1]Dashboard_Data!$F$2:$F$13</c:f>
              <c:numCache>
                <c:formatCode>General</c:formatCode>
                <c:ptCount val="12"/>
                <c:pt idx="0">
                  <c:v>-23.8</c:v>
                </c:pt>
                <c:pt idx="1">
                  <c:v>-18.5</c:v>
                </c:pt>
                <c:pt idx="2">
                  <c:v>-9.6999999999999993</c:v>
                </c:pt>
                <c:pt idx="3">
                  <c:v>0.70000000000000018</c:v>
                </c:pt>
                <c:pt idx="4">
                  <c:v>8.5</c:v>
                </c:pt>
                <c:pt idx="5">
                  <c:v>14.600000000000001</c:v>
                </c:pt>
                <c:pt idx="6">
                  <c:v>17.5</c:v>
                </c:pt>
                <c:pt idx="7">
                  <c:v>16.100000000000001</c:v>
                </c:pt>
                <c:pt idx="8">
                  <c:v>9.1999999999999993</c:v>
                </c:pt>
                <c:pt idx="9">
                  <c:v>0.29999999999999982</c:v>
                </c:pt>
                <c:pt idx="10">
                  <c:v>-11.3</c:v>
                </c:pt>
                <c:pt idx="11">
                  <c:v>-20.399999999999999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318-40D1-9873-2B10175F3E23}"/>
            </c:ext>
          </c:extLst>
        </c:ser>
        <c:ser>
          <c:idx val="2"/>
          <c:order val="2"/>
          <c:tx>
            <c:strRef>
              <c:f>[1]Dashboard_Data!$G$1</c:f>
              <c:strCache>
                <c:ptCount val="1"/>
                <c:pt idx="0">
                  <c:v>月均溫(°C)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[1]Dashboard_Data!$D$2:$D$13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[1]Dashboard_Data!$G$2:$G$13</c:f>
              <c:numCache>
                <c:formatCode>General</c:formatCode>
                <c:ptCount val="12"/>
                <c:pt idx="0">
                  <c:v>-19.05</c:v>
                </c:pt>
                <c:pt idx="1">
                  <c:v>-13.75</c:v>
                </c:pt>
                <c:pt idx="2">
                  <c:v>-4.9499999999999993</c:v>
                </c:pt>
                <c:pt idx="3">
                  <c:v>5.4499999999999993</c:v>
                </c:pt>
                <c:pt idx="4">
                  <c:v>13.25</c:v>
                </c:pt>
                <c:pt idx="5">
                  <c:v>19.350000000000001</c:v>
                </c:pt>
                <c:pt idx="6">
                  <c:v>22.25</c:v>
                </c:pt>
                <c:pt idx="7">
                  <c:v>20.85</c:v>
                </c:pt>
                <c:pt idx="8">
                  <c:v>13.95</c:v>
                </c:pt>
                <c:pt idx="9">
                  <c:v>5.0500000000000007</c:v>
                </c:pt>
                <c:pt idx="10">
                  <c:v>-6.5500000000000007</c:v>
                </c:pt>
                <c:pt idx="11">
                  <c:v>-15.649999999999999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318-40D1-9873-2B10175F3E2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"/>
        <c:axId val="100"/>
      </c:lineChart>
      <c:date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0"/>
        <c:crosses val="autoZero"/>
        <c:auto val="0"/>
        <c:lblOffset val="100"/>
        <c:baseTimeUnit val="days"/>
      </c:dateAx>
      <c:valAx>
        <c:axId val="1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°C</a:t>
                </a:r>
              </a:p>
            </c:rich>
          </c:tx>
          <c:overlay val="1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b="1"/>
              <a:t>月別日夜 </a:t>
            </a:r>
            <a:r>
              <a:rPr lang="en-US" b="1"/>
              <a:t>COP</a:t>
            </a:r>
          </a:p>
        </c:rich>
      </c:tx>
      <c:layout>
        <c:manualLayout>
          <c:xMode val="edge"/>
          <c:yMode val="edge"/>
          <c:x val="0.82434228809634091"/>
          <c:y val="3.6857379767827526E-2"/>
        </c:manualLayout>
      </c:layout>
      <c:overlay val="1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095003062610403E-2"/>
          <c:y val="6.8449419568822556E-2"/>
          <c:w val="0.89310229118767159"/>
          <c:h val="0.6754004975124378"/>
        </c:manualLayout>
      </c:layout>
      <c:lineChart>
        <c:grouping val="standard"/>
        <c:varyColors val="1"/>
        <c:ser>
          <c:idx val="0"/>
          <c:order val="0"/>
          <c:tx>
            <c:strRef>
              <c:f>[1]Dashboard_Data!$J$1</c:f>
              <c:strCache>
                <c:ptCount val="1"/>
                <c:pt idx="0">
                  <c:v>日COP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[1]Dashboard_Data!$I$2:$I$13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[1]Dashboard_Data!$J$2:$J$13</c:f>
              <c:numCache>
                <c:formatCode>General</c:formatCode>
                <c:ptCount val="12"/>
                <c:pt idx="0">
                  <c:v>2.4</c:v>
                </c:pt>
                <c:pt idx="1">
                  <c:v>2.6080000000000001</c:v>
                </c:pt>
                <c:pt idx="2">
                  <c:v>3.3736000000000002</c:v>
                </c:pt>
                <c:pt idx="3">
                  <c:v>4.2783999999999995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4.2435999999999998</c:v>
                </c:pt>
                <c:pt idx="10">
                  <c:v>3.2343999999999999</c:v>
                </c:pt>
                <c:pt idx="11">
                  <c:v>2.4427000000000003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A4-4214-84CF-7ADCF1AE8F13}"/>
            </c:ext>
          </c:extLst>
        </c:ser>
        <c:ser>
          <c:idx val="1"/>
          <c:order val="1"/>
          <c:tx>
            <c:strRef>
              <c:f>[1]Dashboard_Data!$K$1</c:f>
              <c:strCache>
                <c:ptCount val="1"/>
                <c:pt idx="0">
                  <c:v>夜COP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[1]Dashboard_Data!$I$2:$I$13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[1]Dashboard_Data!$K$2:$K$13</c:f>
              <c:numCache>
                <c:formatCode>General</c:formatCode>
                <c:ptCount val="12"/>
                <c:pt idx="0">
                  <c:v>2.4</c:v>
                </c:pt>
                <c:pt idx="1">
                  <c:v>2.4</c:v>
                </c:pt>
                <c:pt idx="2">
                  <c:v>2.5471000000000004</c:v>
                </c:pt>
                <c:pt idx="3">
                  <c:v>3.4519000000000002</c:v>
                </c:pt>
                <c:pt idx="4">
                  <c:v>4.1304999999999996</c:v>
                </c:pt>
                <c:pt idx="5">
                  <c:v>4.6612</c:v>
                </c:pt>
                <c:pt idx="6">
                  <c:v>4.8</c:v>
                </c:pt>
                <c:pt idx="7">
                  <c:v>4.7917000000000005</c:v>
                </c:pt>
                <c:pt idx="8">
                  <c:v>4.1913999999999998</c:v>
                </c:pt>
                <c:pt idx="9">
                  <c:v>3.4171</c:v>
                </c:pt>
                <c:pt idx="10">
                  <c:v>2.4079000000000002</c:v>
                </c:pt>
                <c:pt idx="11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A4-4214-84CF-7ADCF1AE8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COP</a:t>
                </a:r>
              </a:p>
            </c:rich>
          </c:tx>
          <c:overlay val="1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756214296742325"/>
          <c:y val="0.41620480928689885"/>
          <c:w val="0.21111780145128917"/>
          <c:h val="0.101598258706467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b="1"/>
              <a:t>月別日夜熱需求</a:t>
            </a:r>
          </a:p>
        </c:rich>
      </c:tx>
      <c:layout>
        <c:manualLayout>
          <c:xMode val="edge"/>
          <c:yMode val="edge"/>
          <c:x val="0.75864909390444812"/>
          <c:y val="5.2653399668325045E-2"/>
        </c:manualLayout>
      </c:layout>
      <c:overlay val="1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235499738734031"/>
          <c:y val="5.7918739635157548E-2"/>
          <c:w val="0.83247337789870091"/>
          <c:h val="0.675400497512437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[1]Dashboard_Data!$N$1</c:f>
              <c:strCache>
                <c:ptCount val="1"/>
                <c:pt idx="0">
                  <c:v>日熱需求(kWh/月)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  <a:effectLst/>
          </c:spPr>
          <c:invertIfNegative val="1"/>
          <c:cat>
            <c:strRef>
              <c:f>[1]Dashboard_Data!$M$2:$M$13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[1]Dashboard_Data!$N$2:$N$13</c:f>
              <c:numCache>
                <c:formatCode>General</c:formatCode>
                <c:ptCount val="12"/>
                <c:pt idx="0">
                  <c:v>132027.52876350263</c:v>
                </c:pt>
                <c:pt idx="1">
                  <c:v>117414.43620801589</c:v>
                </c:pt>
                <c:pt idx="2">
                  <c:v>111042.46211584017</c:v>
                </c:pt>
                <c:pt idx="3">
                  <c:v>72328.637728920905</c:v>
                </c:pt>
                <c:pt idx="4">
                  <c:v>39126.420270116585</c:v>
                </c:pt>
                <c:pt idx="5">
                  <c:v>5124.9279195199533</c:v>
                </c:pt>
                <c:pt idx="6">
                  <c:v>0</c:v>
                </c:pt>
                <c:pt idx="7">
                  <c:v>0</c:v>
                </c:pt>
                <c:pt idx="8">
                  <c:v>28464.01814384482</c:v>
                </c:pt>
                <c:pt idx="9">
                  <c:v>61507.861781161257</c:v>
                </c:pt>
                <c:pt idx="10">
                  <c:v>90642.934543429961</c:v>
                </c:pt>
                <c:pt idx="11">
                  <c:v>115632.14456721619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F9A1-4842-B166-B99553352D41}"/>
            </c:ext>
          </c:extLst>
        </c:ser>
        <c:ser>
          <c:idx val="1"/>
          <c:order val="1"/>
          <c:tx>
            <c:strRef>
              <c:f>[1]Dashboard_Data!$O$1</c:f>
              <c:strCache>
                <c:ptCount val="1"/>
                <c:pt idx="0">
                  <c:v>夜熱需求(kWh/月)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  <a:effectLst/>
          </c:spPr>
          <c:invertIfNegative val="1"/>
          <c:cat>
            <c:strRef>
              <c:f>[1]Dashboard_Data!$M$2:$M$13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[1]Dashboard_Data!$O$2:$O$13</c:f>
              <c:numCache>
                <c:formatCode>General</c:formatCode>
                <c:ptCount val="12"/>
                <c:pt idx="0">
                  <c:v>251722.14327121078</c:v>
                </c:pt>
                <c:pt idx="1">
                  <c:v>183718.69782327613</c:v>
                </c:pt>
                <c:pt idx="2">
                  <c:v>139593.35879204553</c:v>
                </c:pt>
                <c:pt idx="3">
                  <c:v>75766.586745393695</c:v>
                </c:pt>
                <c:pt idx="4">
                  <c:v>40446.320984808466</c:v>
                </c:pt>
                <c:pt idx="5">
                  <c:v>16839.552482880226</c:v>
                </c:pt>
                <c:pt idx="6">
                  <c:v>8358.0695575112441</c:v>
                </c:pt>
                <c:pt idx="7">
                  <c:v>14874.768853498152</c:v>
                </c:pt>
                <c:pt idx="8">
                  <c:v>46382.780324837462</c:v>
                </c:pt>
                <c:pt idx="9">
                  <c:v>99681.805875731792</c:v>
                </c:pt>
                <c:pt idx="10">
                  <c:v>169977.80973099411</c:v>
                </c:pt>
                <c:pt idx="11">
                  <c:v>237778.5994731049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1-F9A1-4842-B166-B99553352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kWh/</a:t>
                </a:r>
                <a:r>
                  <a:rPr lang="zh-TW" sz="1100"/>
                  <a:t>月</a:t>
                </a:r>
              </a:p>
            </c:rich>
          </c:tx>
          <c:overlay val="1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692615029381626"/>
          <c:y val="0.30036733001658378"/>
          <c:w val="0.31886598606805122"/>
          <c:h val="8.88532338308457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zh-TW" altLang="en-US" sz="1400" b="1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+mn-lt"/>
                <a:ea typeface="+mn-ea"/>
                <a:cs typeface="+mn-cs"/>
              </a:defRPr>
            </a:pPr>
            <a:r>
              <a:rPr lang="zh-TW" altLang="en-US" sz="1400" b="1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+mn-lt"/>
                <a:ea typeface="+mn-ea"/>
                <a:cs typeface="+mn-cs"/>
              </a:rPr>
              <a:t>當前全年熱量結構</a:t>
            </a:r>
          </a:p>
        </c:rich>
      </c:tx>
      <c:layout>
        <c:manualLayout>
          <c:xMode val="edge"/>
          <c:yMode val="edge"/>
          <c:x val="0.85245901639344257"/>
          <c:y val="5.4273504273504275E-2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dLbls>
            <c:dLbl>
              <c:idx val="0"/>
              <c:layout>
                <c:manualLayout>
                  <c:x val="6.6369562411255911E-2"/>
                  <c:y val="2.3066239316239315E-2"/>
                </c:manualLayout>
              </c:layout>
              <c:tx>
                <c:rich>
                  <a:bodyPr/>
                  <a:lstStyle/>
                  <a:p>
                    <a:fld id="{F1519408-0CCF-4019-B84A-31222CF5F6AC}" type="CATEGORYNAME">
                      <a:rPr lang="en-US" altLang="zh-TW" baseline="0"/>
                      <a:pPr/>
                      <a:t>[類別名稱]</a:t>
                    </a:fld>
                    <a:r>
                      <a:rPr lang="en-US" altLang="zh-TW" baseline="0"/>
                      <a:t>, </a:t>
                    </a:r>
                    <a:fld id="{5E17C572-0B9D-4681-A9E8-A31B3AE315B9}" type="VALUE">
                      <a:rPr lang="en-US" altLang="zh-TW" baseline="0"/>
                      <a:pPr/>
                      <a:t>[值]</a:t>
                    </a:fld>
                    <a:r>
                      <a:rPr lang="en-US" altLang="zh-TW" baseline="0"/>
                      <a:t>, </a:t>
                    </a:r>
                    <a:fld id="{028D1160-0737-428F-BD1E-F79D2A84336B}" type="PERCENTAGE">
                      <a:rPr lang="en-US" altLang="zh-TW" baseline="0"/>
                      <a:pPr/>
                      <a:t>[百分比]</a:t>
                    </a:fld>
                    <a:endParaRPr lang="en-US" altLang="zh-TW" baseline="0"/>
                  </a:p>
                </c:rich>
              </c:tx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99B-4EB1-9A20-2EBD64F9D1BF}"/>
                </c:ext>
              </c:extLst>
            </c:dLbl>
            <c:dLbl>
              <c:idx val="1"/>
              <c:layout>
                <c:manualLayout>
                  <c:x val="-1.0552923712404802E-2"/>
                  <c:y val="-3.0316666666666665E-2"/>
                </c:manualLayout>
              </c:layout>
              <c:tx>
                <c:rich>
                  <a:bodyPr/>
                  <a:lstStyle/>
                  <a:p>
                    <a:fld id="{403AD5FF-AB7E-4CA9-A381-45228922F5FE}" type="CATEGORYNAME">
                      <a:rPr lang="en-US" altLang="zh-TW" baseline="0"/>
                      <a:pPr/>
                      <a:t>[類別名稱]</a:t>
                    </a:fld>
                    <a:r>
                      <a:rPr lang="en-US" altLang="zh-TW" baseline="0"/>
                      <a:t>, </a:t>
                    </a:r>
                    <a:fld id="{A3AC94AD-8E58-4D51-9353-F9FB205CA411}" type="VALUE">
                      <a:rPr lang="en-US" altLang="zh-TW" baseline="0"/>
                      <a:pPr/>
                      <a:t>[值]</a:t>
                    </a:fld>
                    <a:r>
                      <a:rPr lang="en-US" altLang="zh-TW" baseline="0"/>
                      <a:t>, </a:t>
                    </a:r>
                    <a:fld id="{199EAA82-69E8-417B-8ECD-85F67B3D63C2}" type="PERCENTAGE">
                      <a:rPr lang="en-US" altLang="zh-TW" baseline="0"/>
                      <a:pPr/>
                      <a:t>[百分比]</a:t>
                    </a:fld>
                    <a:endParaRPr lang="en-US" altLang="zh-TW" baseline="0"/>
                  </a:p>
                </c:rich>
              </c:tx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99B-4EB1-9A20-2EBD64F9D1BF}"/>
                </c:ext>
              </c:extLst>
            </c:dLbl>
            <c:dLbl>
              <c:idx val="2"/>
              <c:layout>
                <c:manualLayout>
                  <c:x val="3.3001290822253775E-2"/>
                  <c:y val="-6.089230769230769E-2"/>
                </c:manualLayout>
              </c:layout>
              <c:tx>
                <c:rich>
                  <a:bodyPr/>
                  <a:lstStyle/>
                  <a:p>
                    <a:fld id="{DBD50DC9-5454-467D-A042-6D3E5D2784D0}" type="CATEGORYNAME">
                      <a:rPr lang="en-US" altLang="zh-TW" baseline="0"/>
                      <a:pPr/>
                      <a:t>[類別名稱]</a:t>
                    </a:fld>
                    <a:r>
                      <a:rPr lang="en-US" altLang="zh-TW" baseline="0"/>
                      <a:t>, </a:t>
                    </a:r>
                    <a:fld id="{976F8A2C-AAF8-4773-A169-4FA978D11A9B}" type="VALUE">
                      <a:rPr lang="en-US" altLang="zh-TW" baseline="0"/>
                      <a:pPr/>
                      <a:t>[值]</a:t>
                    </a:fld>
                    <a:r>
                      <a:rPr lang="en-US" altLang="zh-TW" baseline="0"/>
                      <a:t>, </a:t>
                    </a:r>
                    <a:fld id="{8893B4A3-D4A6-4F7A-9BDF-5553806F7301}" type="PERCENTAGE">
                      <a:rPr lang="en-US" altLang="zh-TW" baseline="0"/>
                      <a:pPr/>
                      <a:t>[百分比]</a:t>
                    </a:fld>
                    <a:endParaRPr lang="en-US" altLang="zh-TW" baseline="0"/>
                  </a:p>
                </c:rich>
              </c:tx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699B-4EB1-9A20-2EBD64F9D1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[1]Dashboard_Data!$A$17:$A$19</c:f>
              <c:strCache>
                <c:ptCount val="3"/>
                <c:pt idx="0">
                  <c:v>Solar</c:v>
                </c:pt>
                <c:pt idx="1">
                  <c:v>HP</c:v>
                </c:pt>
                <c:pt idx="2">
                  <c:v>Boiler</c:v>
                </c:pt>
              </c:strCache>
            </c:strRef>
          </c:cat>
          <c:val>
            <c:numRef>
              <c:f>[1]Dashboard_Data!$B$17:$B$19</c:f>
              <c:numCache>
                <c:formatCode>General</c:formatCode>
                <c:ptCount val="3"/>
                <c:pt idx="0">
                  <c:v>77331.137204156839</c:v>
                </c:pt>
                <c:pt idx="1">
                  <c:v>1213665.2554088642</c:v>
                </c:pt>
                <c:pt idx="2">
                  <c:v>697857.52186009847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B-4EB1-9A20-2EBD64F9D1BF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overlay val="1"/>
      <c:txPr>
        <a:bodyPr/>
        <a:lstStyle/>
        <a:p>
          <a:pPr>
            <a:defRPr sz="1200"/>
          </a:pPr>
          <a:endParaRPr lang="zh-TW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619435565603804"/>
          <c:y val="5.9700854700854698E-2"/>
          <c:w val="0.77380564434396193"/>
          <c:h val="0.7442344706911635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[1]Dashboard_Data!$E$16</c:f>
              <c:strCache>
                <c:ptCount val="1"/>
                <c:pt idx="0">
                  <c:v>年總操作成本(元/年)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  <a:effectLst/>
          </c:spPr>
          <c:invertIfNegative val="1"/>
          <c:cat>
            <c:strRef>
              <c:f>[1]Dashboard_Data!$D$17:$D$20</c:f>
              <c:strCache>
                <c:ptCount val="4"/>
                <c:pt idx="0">
                  <c:v>Boiler-only</c:v>
                </c:pt>
                <c:pt idx="1">
                  <c:v>HP-only</c:v>
                </c:pt>
                <c:pt idx="2">
                  <c:v>Hybrid</c:v>
                </c:pt>
                <c:pt idx="3">
                  <c:v>Hybrid_OPT</c:v>
                </c:pt>
              </c:strCache>
            </c:strRef>
          </c:cat>
          <c:val>
            <c:numRef>
              <c:f>[1]Dashboard_Data!$E$17:$E$20</c:f>
              <c:numCache>
                <c:formatCode>General</c:formatCode>
                <c:ptCount val="4"/>
                <c:pt idx="0">
                  <c:v>3543252.0612612707</c:v>
                </c:pt>
                <c:pt idx="1">
                  <c:v>2010003.1892679087</c:v>
                </c:pt>
                <c:pt idx="2">
                  <c:v>2507207.9179460374</c:v>
                </c:pt>
                <c:pt idx="3">
                  <c:v>1955691.5736308198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7756-479C-8E4A-8FFB779C8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"/>
        <c:axId val="100"/>
      </c:barChart>
      <c:lineChart>
        <c:grouping val="standard"/>
        <c:varyColors val="1"/>
        <c:ser>
          <c:idx val="1"/>
          <c:order val="1"/>
          <c:tx>
            <c:strRef>
              <c:f>[1]Dashboard_Data!$F$16</c:f>
              <c:strCache>
                <c:ptCount val="1"/>
                <c:pt idx="0">
                  <c:v>單位面積年總操作成本(元/m²·year)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[1]Dashboard_Data!$D$17:$D$20</c:f>
              <c:strCache>
                <c:ptCount val="4"/>
                <c:pt idx="0">
                  <c:v>Boiler-only</c:v>
                </c:pt>
                <c:pt idx="1">
                  <c:v>HP-only</c:v>
                </c:pt>
                <c:pt idx="2">
                  <c:v>Hybrid</c:v>
                </c:pt>
                <c:pt idx="3">
                  <c:v>Hybrid_OPT</c:v>
                </c:pt>
              </c:strCache>
            </c:strRef>
          </c:cat>
          <c:val>
            <c:numRef>
              <c:f>[1]Dashboard_Data!$F$17:$F$20</c:f>
              <c:numCache>
                <c:formatCode>General</c:formatCode>
                <c:ptCount val="4"/>
                <c:pt idx="0">
                  <c:v>3543.2520612612707</c:v>
                </c:pt>
                <c:pt idx="1">
                  <c:v>2010.0031892679087</c:v>
                </c:pt>
                <c:pt idx="2">
                  <c:v>2507.2079179460375</c:v>
                </c:pt>
                <c:pt idx="3">
                  <c:v>1955.6915736308199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756-479C-8E4A-8FFB779C8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"/>
        <c:axId val="200"/>
      </c:line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/>
                  <a:t>情境</a:t>
                </a:r>
              </a:p>
            </c:rich>
          </c:tx>
          <c:overlay val="1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sz="1200"/>
                  <a:t>元</a:t>
                </a:r>
                <a:r>
                  <a:rPr lang="en-US" sz="1200"/>
                  <a:t>/</a:t>
                </a:r>
                <a:r>
                  <a:rPr lang="zh-TW" sz="1200"/>
                  <a:t>年</a:t>
                </a:r>
              </a:p>
            </c:rich>
          </c:tx>
          <c:layout>
            <c:manualLayout>
              <c:xMode val="edge"/>
              <c:yMode val="edge"/>
              <c:x val="0.21590057430939941"/>
              <c:y val="0.32145231846019245"/>
            </c:manualLayout>
          </c:layout>
          <c:overlay val="1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"/>
        <c:crosses val="autoZero"/>
        <c:crossBetween val="between"/>
      </c:valAx>
      <c:valAx>
        <c:axId val="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sz="1200"/>
                  <a:t>元</a:t>
                </a:r>
                <a:r>
                  <a:rPr lang="en-US" sz="1200"/>
                  <a:t>/m²·year</a:t>
                </a:r>
              </a:p>
            </c:rich>
          </c:tx>
          <c:layout>
            <c:manualLayout>
              <c:xMode val="edge"/>
              <c:yMode val="edge"/>
              <c:x val="6.4233517839972984E-2"/>
              <c:y val="0.31184323550465282"/>
            </c:manualLayout>
          </c:layout>
          <c:overlay val="1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</c:legendEntry>
      <c:layout>
        <c:manualLayout>
          <c:xMode val="edge"/>
          <c:yMode val="edge"/>
          <c:x val="0.39898339440243236"/>
          <c:y val="5.618627217052409E-2"/>
          <c:w val="0.52546542449520539"/>
          <c:h val="8.52278692436172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b="1"/>
              <a:t>四情境月別操作成本</a:t>
            </a:r>
          </a:p>
        </c:rich>
      </c:tx>
      <c:layout>
        <c:manualLayout>
          <c:xMode val="edge"/>
          <c:yMode val="edge"/>
          <c:x val="0.76772908366533865"/>
          <c:y val="3.7578288100208766E-2"/>
        </c:manualLayout>
      </c:layout>
      <c:overlay val="1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5807384634689588E-2"/>
          <c:y val="5.3140096618357488E-2"/>
          <c:w val="0.87969369765034355"/>
          <c:h val="0.72325612743083523"/>
        </c:manualLayout>
      </c:layout>
      <c:lineChart>
        <c:grouping val="standard"/>
        <c:varyColors val="1"/>
        <c:ser>
          <c:idx val="0"/>
          <c:order val="0"/>
          <c:tx>
            <c:strRef>
              <c:f>[1]Dashboard_Data!$I$16</c:f>
              <c:strCache>
                <c:ptCount val="1"/>
                <c:pt idx="0">
                  <c:v>Boiler-only成本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[1]Dashboard_Data!$H$17:$H$28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[1]Dashboard_Data!$I$17:$I$28</c:f>
              <c:numCache>
                <c:formatCode>General</c:formatCode>
                <c:ptCount val="12"/>
                <c:pt idx="0">
                  <c:v>662726.43712651706</c:v>
                </c:pt>
                <c:pt idx="1">
                  <c:v>517579.59384840785</c:v>
                </c:pt>
                <c:pt idx="2">
                  <c:v>428404.33659074834</c:v>
                </c:pt>
                <c:pt idx="3">
                  <c:v>251933.5760365263</c:v>
                </c:pt>
                <c:pt idx="4">
                  <c:v>135318.75560547918</c:v>
                </c:pt>
                <c:pt idx="5">
                  <c:v>38367.069278691219</c:v>
                </c:pt>
                <c:pt idx="6">
                  <c:v>14948.481211734874</c:v>
                </c:pt>
                <c:pt idx="7">
                  <c:v>26603.798530736742</c:v>
                </c:pt>
                <c:pt idx="8">
                  <c:v>128773.34523460396</c:v>
                </c:pt>
                <c:pt idx="9">
                  <c:v>277288.40863631072</c:v>
                </c:pt>
                <c:pt idx="10">
                  <c:v>449910.93372695107</c:v>
                </c:pt>
                <c:pt idx="11">
                  <c:v>611397.32543456322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AB-4CB8-A5B6-63143893BFB9}"/>
            </c:ext>
          </c:extLst>
        </c:ser>
        <c:ser>
          <c:idx val="1"/>
          <c:order val="1"/>
          <c:tx>
            <c:strRef>
              <c:f>[1]Dashboard_Data!$J$16</c:f>
              <c:strCache>
                <c:ptCount val="1"/>
                <c:pt idx="0">
                  <c:v>HP-only成本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[1]Dashboard_Data!$H$17:$H$28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[1]Dashboard_Data!$J$17:$J$28</c:f>
              <c:numCache>
                <c:formatCode>General</c:formatCode>
                <c:ptCount val="12"/>
                <c:pt idx="0">
                  <c:v>433946.8870985423</c:v>
                </c:pt>
                <c:pt idx="1">
                  <c:v>331735.76257116604</c:v>
                </c:pt>
                <c:pt idx="2">
                  <c:v>239493.33049859275</c:v>
                </c:pt>
                <c:pt idx="3">
                  <c:v>107722.16000549556</c:v>
                </c:pt>
                <c:pt idx="4">
                  <c:v>49981.243046749805</c:v>
                </c:pt>
                <c:pt idx="5">
                  <c:v>12355.437924246788</c:v>
                </c:pt>
                <c:pt idx="6">
                  <c:v>4337.6695509029296</c:v>
                </c:pt>
                <c:pt idx="7">
                  <c:v>7737.6845658716429</c:v>
                </c:pt>
                <c:pt idx="8">
                  <c:v>46184.509940614254</c:v>
                </c:pt>
                <c:pt idx="9">
                  <c:v>118128.78648852986</c:v>
                </c:pt>
                <c:pt idx="10">
                  <c:v>263327.92030437884</c:v>
                </c:pt>
                <c:pt idx="11">
                  <c:v>395051.79727281764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0AB-4CB8-A5B6-63143893BFB9}"/>
            </c:ext>
          </c:extLst>
        </c:ser>
        <c:ser>
          <c:idx val="2"/>
          <c:order val="2"/>
          <c:tx>
            <c:strRef>
              <c:f>[1]Dashboard_Data!$K$16</c:f>
              <c:strCache>
                <c:ptCount val="1"/>
                <c:pt idx="0">
                  <c:v>Hybrid成本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[1]Dashboard_Data!$H$17:$H$28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[1]Dashboard_Data!$K$17:$K$28</c:f>
              <c:numCache>
                <c:formatCode>General</c:formatCode>
                <c:ptCount val="12"/>
                <c:pt idx="0">
                  <c:v>505015.13620500651</c:v>
                </c:pt>
                <c:pt idx="1">
                  <c:v>388740.05819082109</c:v>
                </c:pt>
                <c:pt idx="2">
                  <c:v>299521.4185875447</c:v>
                </c:pt>
                <c:pt idx="3">
                  <c:v>154989.12177469331</c:v>
                </c:pt>
                <c:pt idx="4">
                  <c:v>78388.771779891307</c:v>
                </c:pt>
                <c:pt idx="5">
                  <c:v>21673.658591165968</c:v>
                </c:pt>
                <c:pt idx="6">
                  <c:v>8345.3253301578588</c:v>
                </c:pt>
                <c:pt idx="7">
                  <c:v>14860.689839305192</c:v>
                </c:pt>
                <c:pt idx="8">
                  <c:v>74609.614126226734</c:v>
                </c:pt>
                <c:pt idx="9">
                  <c:v>172229.91989273473</c:v>
                </c:pt>
                <c:pt idx="10">
                  <c:v>325033.23406819976</c:v>
                </c:pt>
                <c:pt idx="11">
                  <c:v>463800.96956029028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AB-4CB8-A5B6-63143893BFB9}"/>
            </c:ext>
          </c:extLst>
        </c:ser>
        <c:ser>
          <c:idx val="3"/>
          <c:order val="3"/>
          <c:tx>
            <c:strRef>
              <c:f>[1]Dashboard_Data!$L$16</c:f>
              <c:strCache>
                <c:ptCount val="1"/>
                <c:pt idx="0">
                  <c:v>Hybrid_OPT成本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[1]Dashboard_Data!$H$17:$H$28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[1]Dashboard_Data!$L$17:$L$28</c:f>
              <c:numCache>
                <c:formatCode>General</c:formatCode>
                <c:ptCount val="12"/>
                <c:pt idx="0">
                  <c:v>420811.25540556922</c:v>
                </c:pt>
                <c:pt idx="1">
                  <c:v>321130.10346902173</c:v>
                </c:pt>
                <c:pt idx="2">
                  <c:v>232432.36259345862</c:v>
                </c:pt>
                <c:pt idx="3">
                  <c:v>104388.64900056788</c:v>
                </c:pt>
                <c:pt idx="4">
                  <c:v>48526.697921501611</c:v>
                </c:pt>
                <c:pt idx="5">
                  <c:v>12351.30925452828</c:v>
                </c:pt>
                <c:pt idx="6">
                  <c:v>4474.661874461789</c:v>
                </c:pt>
                <c:pt idx="7">
                  <c:v>7976.7793018590137</c:v>
                </c:pt>
                <c:pt idx="8">
                  <c:v>45394.08617572701</c:v>
                </c:pt>
                <c:pt idx="9">
                  <c:v>115791.50711138931</c:v>
                </c:pt>
                <c:pt idx="10">
                  <c:v>258032.36231459765</c:v>
                </c:pt>
                <c:pt idx="11">
                  <c:v>384381.79920813791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AB-4CB8-A5B6-63143893B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sz="1100"/>
                  <a:t>元</a:t>
                </a:r>
                <a:r>
                  <a:rPr lang="en-US" sz="1100"/>
                  <a:t>/</a:t>
                </a:r>
                <a:r>
                  <a:rPr lang="zh-TW" sz="1100"/>
                  <a:t>月</a:t>
                </a:r>
              </a:p>
            </c:rich>
          </c:tx>
          <c:overlay val="1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720306176867337"/>
          <c:y val="0.1570976279322078"/>
          <c:w val="0.62669661511434571"/>
          <c:h val="7.55027698781911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b="1"/>
              <a:t>四情境月別</a:t>
            </a:r>
            <a:r>
              <a:rPr lang="en-US" b="1"/>
              <a:t>CO2</a:t>
            </a:r>
            <a:r>
              <a:rPr lang="zh-TW" b="1"/>
              <a:t>排放</a:t>
            </a:r>
          </a:p>
        </c:rich>
      </c:tx>
      <c:layout>
        <c:manualLayout>
          <c:xMode val="edge"/>
          <c:yMode val="edge"/>
          <c:x val="0.12093182317727527"/>
          <c:y val="4.357298474945534E-2"/>
        </c:manualLayout>
      </c:layout>
      <c:overlay val="1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214964508746752"/>
          <c:y val="1.2739093887773802E-3"/>
          <c:w val="0.89785035491253251"/>
          <c:h val="0.80712092361003895"/>
        </c:manualLayout>
      </c:layout>
      <c:lineChart>
        <c:grouping val="standard"/>
        <c:varyColors val="1"/>
        <c:ser>
          <c:idx val="0"/>
          <c:order val="0"/>
          <c:tx>
            <c:strRef>
              <c:f>[1]Dashboard_Data!$O$16</c:f>
              <c:strCache>
                <c:ptCount val="1"/>
                <c:pt idx="0">
                  <c:v>Boiler-only排放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[1]Dashboard_Data!$N$17:$N$28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[1]Dashboard_Data!$O$17:$O$28</c:f>
              <c:numCache>
                <c:formatCode>General</c:formatCode>
                <c:ptCount val="12"/>
                <c:pt idx="0">
                  <c:v>83167.197411099289</c:v>
                </c:pt>
                <c:pt idx="1">
                  <c:v>64952.357181021194</c:v>
                </c:pt>
                <c:pt idx="2">
                  <c:v>53761.531209614383</c:v>
                </c:pt>
                <c:pt idx="3">
                  <c:v>31615.774290763718</c:v>
                </c:pt>
                <c:pt idx="4">
                  <c:v>16981.488937820563</c:v>
                </c:pt>
                <c:pt idx="5">
                  <c:v>4814.7794414561486</c:v>
                </c:pt>
                <c:pt idx="6">
                  <c:v>1875.9222784636349</c:v>
                </c:pt>
                <c:pt idx="7">
                  <c:v>3338.5771871184738</c:v>
                </c:pt>
                <c:pt idx="8">
                  <c:v>16160.089026853506</c:v>
                </c:pt>
                <c:pt idx="9">
                  <c:v>34797.615620792152</c:v>
                </c:pt>
                <c:pt idx="10">
                  <c:v>56460.447850729302</c:v>
                </c:pt>
                <c:pt idx="11">
                  <c:v>76725.778862096777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036-4ECC-96E9-3EB1CB6353CA}"/>
            </c:ext>
          </c:extLst>
        </c:ser>
        <c:ser>
          <c:idx val="1"/>
          <c:order val="1"/>
          <c:tx>
            <c:strRef>
              <c:f>[1]Dashboard_Data!$P$16</c:f>
              <c:strCache>
                <c:ptCount val="1"/>
                <c:pt idx="0">
                  <c:v>HP-only排放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[1]Dashboard_Data!$N$17:$N$28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[1]Dashboard_Data!$P$17:$P$28</c:f>
              <c:numCache>
                <c:formatCode>General</c:formatCode>
                <c:ptCount val="12"/>
                <c:pt idx="0">
                  <c:v>99999.316854718418</c:v>
                </c:pt>
                <c:pt idx="1">
                  <c:v>75773.806085634889</c:v>
                </c:pt>
                <c:pt idx="2">
                  <c:v>54598.604575492202</c:v>
                </c:pt>
                <c:pt idx="3">
                  <c:v>24065.031489079189</c:v>
                </c:pt>
                <c:pt idx="4">
                  <c:v>11094.498150563877</c:v>
                </c:pt>
                <c:pt idx="5">
                  <c:v>2963.4627353879819</c:v>
                </c:pt>
                <c:pt idx="6">
                  <c:v>1127.7940832347617</c:v>
                </c:pt>
                <c:pt idx="7">
                  <c:v>2011.793669214409</c:v>
                </c:pt>
                <c:pt idx="8">
                  <c:v>10625.289852661193</c:v>
                </c:pt>
                <c:pt idx="9">
                  <c:v>27333.205958521325</c:v>
                </c:pt>
                <c:pt idx="10">
                  <c:v>61936.327720787958</c:v>
                </c:pt>
                <c:pt idx="11">
                  <c:v>91700.818063301747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036-4ECC-96E9-3EB1CB6353CA}"/>
            </c:ext>
          </c:extLst>
        </c:ser>
        <c:ser>
          <c:idx val="2"/>
          <c:order val="2"/>
          <c:tx>
            <c:strRef>
              <c:f>[1]Dashboard_Data!$Q$16</c:f>
              <c:strCache>
                <c:ptCount val="1"/>
                <c:pt idx="0">
                  <c:v>Hybrid排放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[1]Dashboard_Data!$N$17:$N$28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[1]Dashboard_Data!$Q$17:$Q$28</c:f>
              <c:numCache>
                <c:formatCode>General</c:formatCode>
                <c:ptCount val="12"/>
                <c:pt idx="0">
                  <c:v>91732.010675142374</c:v>
                </c:pt>
                <c:pt idx="1">
                  <c:v>70007.801916445358</c:v>
                </c:pt>
                <c:pt idx="2">
                  <c:v>52856.711892862484</c:v>
                </c:pt>
                <c:pt idx="3">
                  <c:v>25968.769155060487</c:v>
                </c:pt>
                <c:pt idx="4">
                  <c:v>12811.456421095871</c:v>
                </c:pt>
                <c:pt idx="5">
                  <c:v>3606.9461177596922</c:v>
                </c:pt>
                <c:pt idx="6">
                  <c:v>1419.0426176346957</c:v>
                </c:pt>
                <c:pt idx="7">
                  <c:v>2527.6827968730904</c:v>
                </c:pt>
                <c:pt idx="8">
                  <c:v>12368.427762123607</c:v>
                </c:pt>
                <c:pt idx="9">
                  <c:v>29412.953218760995</c:v>
                </c:pt>
                <c:pt idx="10">
                  <c:v>58898.696366804717</c:v>
                </c:pt>
                <c:pt idx="11">
                  <c:v>84487.709022655617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036-4ECC-96E9-3EB1CB6353CA}"/>
            </c:ext>
          </c:extLst>
        </c:ser>
        <c:ser>
          <c:idx val="3"/>
          <c:order val="3"/>
          <c:tx>
            <c:strRef>
              <c:f>[1]Dashboard_Data!$R$16</c:f>
              <c:strCache>
                <c:ptCount val="1"/>
                <c:pt idx="0">
                  <c:v>Hybrid_OPT排放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[1]Dashboard_Data!$N$17:$N$28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[1]Dashboard_Data!$R$17:$R$28</c:f>
              <c:numCache>
                <c:formatCode>General</c:formatCode>
                <c:ptCount val="12"/>
                <c:pt idx="0">
                  <c:v>96973.747436345773</c:v>
                </c:pt>
                <c:pt idx="1">
                  <c:v>73355.550564913123</c:v>
                </c:pt>
                <c:pt idx="2">
                  <c:v>52950.017334476259</c:v>
                </c:pt>
                <c:pt idx="3">
                  <c:v>23253.018536296611</c:v>
                </c:pt>
                <c:pt idx="4">
                  <c:v>10722.136431690058</c:v>
                </c:pt>
                <c:pt idx="5">
                  <c:v>2931.5996618635404</c:v>
                </c:pt>
                <c:pt idx="6">
                  <c:v>1140.5634187624821</c:v>
                </c:pt>
                <c:pt idx="7">
                  <c:v>2033.2990822851077</c:v>
                </c:pt>
                <c:pt idx="8">
                  <c:v>10377.653645269409</c:v>
                </c:pt>
                <c:pt idx="9">
                  <c:v>26678.515625914817</c:v>
                </c:pt>
                <c:pt idx="10">
                  <c:v>60586.615224845307</c:v>
                </c:pt>
                <c:pt idx="11">
                  <c:v>89174.621248675088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036-4ECC-96E9-3EB1CB635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kg-CO2/</a:t>
                </a:r>
                <a:r>
                  <a:rPr lang="zh-TW" sz="1400"/>
                  <a:t>月</a:t>
                </a:r>
              </a:p>
            </c:rich>
          </c:tx>
          <c:overlay val="1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129707924440484"/>
          <c:y val="0.1900866313279467"/>
          <c:w val="0.64573419701847612"/>
          <c:h val="7.8792650918635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759700" cy="2412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A43154-4052-4223-B480-FD02CD100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139700</xdr:colOff>
      <xdr:row>1</xdr:row>
      <xdr:rowOff>127000</xdr:rowOff>
    </xdr:from>
    <xdr:ext cx="7677150" cy="2412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595178-E4A0-471E-A2C8-070129B1C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0</xdr:colOff>
      <xdr:row>18</xdr:row>
      <xdr:rowOff>0</xdr:rowOff>
    </xdr:from>
    <xdr:ext cx="7772400" cy="2412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CEB753A-57F1-427E-8DC5-E8EE2392D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7</xdr:col>
      <xdr:colOff>76200</xdr:colOff>
      <xdr:row>18</xdr:row>
      <xdr:rowOff>0</xdr:rowOff>
    </xdr:from>
    <xdr:ext cx="7708900" cy="24120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AF3F211-A472-422C-8FEF-2146DC90D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0</xdr:col>
      <xdr:colOff>0</xdr:colOff>
      <xdr:row>34</xdr:row>
      <xdr:rowOff>0</xdr:rowOff>
    </xdr:from>
    <xdr:ext cx="7747000" cy="2340000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5A4D501-CA72-46F0-B620-4E207B766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7</xdr:col>
      <xdr:colOff>31750</xdr:colOff>
      <xdr:row>33</xdr:row>
      <xdr:rowOff>107950</xdr:rowOff>
    </xdr:from>
    <xdr:ext cx="7696200" cy="2514600"/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5433B33-C8EE-4C27-8FC7-BA2B810F7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0</xdr:col>
      <xdr:colOff>0</xdr:colOff>
      <xdr:row>50</xdr:row>
      <xdr:rowOff>0</xdr:rowOff>
    </xdr:from>
    <xdr:ext cx="7969250" cy="3041650"/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593187A-92BA-4BA9-A050-AAFCED5B9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7</xdr:col>
      <xdr:colOff>69850</xdr:colOff>
      <xdr:row>50</xdr:row>
      <xdr:rowOff>82550</xdr:rowOff>
    </xdr:from>
    <xdr:ext cx="7734300" cy="2914650"/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4E4C56D-987D-4C0A-B5F1-4AC73F65A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28_inputs_clean_fixE_dashboard8charts_d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Calc"/>
      <sheetName val="Compare"/>
      <sheetName val="Dashboard"/>
      <sheetName val="Info"/>
      <sheetName val="Weather_Lookup"/>
      <sheetName val="U_Lookup"/>
      <sheetName val="Equipment_Lookup"/>
      <sheetName val="Fuel_Lookup"/>
      <sheetName val="Dashboard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B1" t="str">
            <v>日長(h)</v>
          </cell>
          <cell r="E1" t="str">
            <v>日外氣(°C)</v>
          </cell>
          <cell r="F1" t="str">
            <v>夜外氣(°C)</v>
          </cell>
          <cell r="G1" t="str">
            <v>月均溫(°C)</v>
          </cell>
          <cell r="J1" t="str">
            <v>日COP</v>
          </cell>
          <cell r="K1" t="str">
            <v>夜COP</v>
          </cell>
          <cell r="N1" t="str">
            <v>日熱需求(kWh/月)</v>
          </cell>
          <cell r="O1" t="str">
            <v>夜熱需求(kWh/月)</v>
          </cell>
        </row>
        <row r="2">
          <cell r="A2" t="str">
            <v>1月</v>
          </cell>
          <cell r="B2">
            <v>8.8537821615987085</v>
          </cell>
          <cell r="D2" t="str">
            <v>1月</v>
          </cell>
          <cell r="E2">
            <v>-14.3</v>
          </cell>
          <cell r="F2">
            <v>-23.8</v>
          </cell>
          <cell r="G2">
            <v>-19.05</v>
          </cell>
          <cell r="I2" t="str">
            <v>1月</v>
          </cell>
          <cell r="J2">
            <v>2.4</v>
          </cell>
          <cell r="K2">
            <v>2.4</v>
          </cell>
          <cell r="M2" t="str">
            <v>1月</v>
          </cell>
          <cell r="N2">
            <v>132027.52876350263</v>
          </cell>
          <cell r="O2">
            <v>251722.14327121078</v>
          </cell>
        </row>
        <row r="3">
          <cell r="A3" t="str">
            <v>2月</v>
          </cell>
          <cell r="B3">
            <v>10.076347370518198</v>
          </cell>
          <cell r="D3" t="str">
            <v>2月</v>
          </cell>
          <cell r="E3">
            <v>-9</v>
          </cell>
          <cell r="F3">
            <v>-18.5</v>
          </cell>
          <cell r="G3">
            <v>-13.75</v>
          </cell>
          <cell r="I3" t="str">
            <v>2月</v>
          </cell>
          <cell r="J3">
            <v>2.6080000000000001</v>
          </cell>
          <cell r="K3">
            <v>2.4</v>
          </cell>
          <cell r="M3" t="str">
            <v>2月</v>
          </cell>
          <cell r="N3">
            <v>117414.43620801589</v>
          </cell>
          <cell r="O3">
            <v>183718.69782327613</v>
          </cell>
        </row>
        <row r="4">
          <cell r="A4" t="str">
            <v>3月</v>
          </cell>
          <cell r="B4">
            <v>11.613026853675777</v>
          </cell>
          <cell r="D4" t="str">
            <v>3月</v>
          </cell>
          <cell r="E4">
            <v>-0.20000000000000018</v>
          </cell>
          <cell r="F4">
            <v>-9.6999999999999993</v>
          </cell>
          <cell r="G4">
            <v>-4.9499999999999993</v>
          </cell>
          <cell r="I4" t="str">
            <v>3月</v>
          </cell>
          <cell r="J4">
            <v>3.3736000000000002</v>
          </cell>
          <cell r="K4">
            <v>2.5471000000000004</v>
          </cell>
          <cell r="M4" t="str">
            <v>3月</v>
          </cell>
          <cell r="N4">
            <v>111042.46211584017</v>
          </cell>
          <cell r="O4">
            <v>139593.35879204553</v>
          </cell>
        </row>
        <row r="5">
          <cell r="A5" t="str">
            <v>4月</v>
          </cell>
          <cell r="B5">
            <v>13.30901447935452</v>
          </cell>
          <cell r="D5" t="str">
            <v>4月</v>
          </cell>
          <cell r="E5">
            <v>10.199999999999999</v>
          </cell>
          <cell r="F5">
            <v>0.70000000000000018</v>
          </cell>
          <cell r="G5">
            <v>5.4499999999999993</v>
          </cell>
          <cell r="I5" t="str">
            <v>4月</v>
          </cell>
          <cell r="J5">
            <v>4.2783999999999995</v>
          </cell>
          <cell r="K5">
            <v>3.4519000000000002</v>
          </cell>
          <cell r="M5" t="str">
            <v>4月</v>
          </cell>
          <cell r="N5">
            <v>72328.637728920905</v>
          </cell>
          <cell r="O5">
            <v>75766.586745393695</v>
          </cell>
        </row>
        <row r="6">
          <cell r="A6" t="str">
            <v>5月</v>
          </cell>
          <cell r="B6">
            <v>14.730889231542944</v>
          </cell>
          <cell r="D6" t="str">
            <v>5月</v>
          </cell>
          <cell r="E6">
            <v>18</v>
          </cell>
          <cell r="F6">
            <v>8.5</v>
          </cell>
          <cell r="G6">
            <v>13.25</v>
          </cell>
          <cell r="I6" t="str">
            <v>5月</v>
          </cell>
          <cell r="J6">
            <v>4.8</v>
          </cell>
          <cell r="K6">
            <v>4.1304999999999996</v>
          </cell>
          <cell r="M6" t="str">
            <v>5月</v>
          </cell>
          <cell r="N6">
            <v>39126.420270116585</v>
          </cell>
          <cell r="O6">
            <v>40446.320984808466</v>
          </cell>
        </row>
        <row r="7">
          <cell r="A7" t="str">
            <v>6月</v>
          </cell>
          <cell r="B7">
            <v>15.507528199951469</v>
          </cell>
          <cell r="D7" t="str">
            <v>6月</v>
          </cell>
          <cell r="E7">
            <v>24.1</v>
          </cell>
          <cell r="F7">
            <v>14.600000000000001</v>
          </cell>
          <cell r="G7">
            <v>19.350000000000001</v>
          </cell>
          <cell r="I7" t="str">
            <v>6月</v>
          </cell>
          <cell r="J7">
            <v>4.8</v>
          </cell>
          <cell r="K7">
            <v>4.6612</v>
          </cell>
          <cell r="M7" t="str">
            <v>6月</v>
          </cell>
          <cell r="N7">
            <v>5124.9279195199533</v>
          </cell>
          <cell r="O7">
            <v>16839.552482880226</v>
          </cell>
        </row>
        <row r="8">
          <cell r="A8" t="str">
            <v>7月</v>
          </cell>
          <cell r="B8">
            <v>15.189047483121184</v>
          </cell>
          <cell r="D8" t="str">
            <v>7月</v>
          </cell>
          <cell r="E8">
            <v>27</v>
          </cell>
          <cell r="F8">
            <v>17.5</v>
          </cell>
          <cell r="G8">
            <v>22.25</v>
          </cell>
          <cell r="I8" t="str">
            <v>7月</v>
          </cell>
          <cell r="J8">
            <v>4.8</v>
          </cell>
          <cell r="K8">
            <v>4.8</v>
          </cell>
          <cell r="M8" t="str">
            <v>7月</v>
          </cell>
          <cell r="N8">
            <v>0</v>
          </cell>
          <cell r="O8">
            <v>8358.0695575112441</v>
          </cell>
        </row>
        <row r="9">
          <cell r="A9" t="str">
            <v>8月</v>
          </cell>
          <cell r="B9">
            <v>13.94823082498219</v>
          </cell>
          <cell r="D9" t="str">
            <v>8月</v>
          </cell>
          <cell r="E9">
            <v>25.6</v>
          </cell>
          <cell r="F9">
            <v>16.100000000000001</v>
          </cell>
          <cell r="G9">
            <v>20.85</v>
          </cell>
          <cell r="I9" t="str">
            <v>8月</v>
          </cell>
          <cell r="J9">
            <v>4.8</v>
          </cell>
          <cell r="K9">
            <v>4.7917000000000005</v>
          </cell>
          <cell r="M9" t="str">
            <v>8月</v>
          </cell>
          <cell r="N9">
            <v>0</v>
          </cell>
          <cell r="O9">
            <v>14874.768853498152</v>
          </cell>
        </row>
        <row r="10">
          <cell r="A10" t="str">
            <v>9月</v>
          </cell>
          <cell r="B10">
            <v>12.304188774702085</v>
          </cell>
          <cell r="D10" t="str">
            <v>9月</v>
          </cell>
          <cell r="E10">
            <v>18.7</v>
          </cell>
          <cell r="F10">
            <v>9.1999999999999993</v>
          </cell>
          <cell r="G10">
            <v>13.95</v>
          </cell>
          <cell r="I10" t="str">
            <v>9月</v>
          </cell>
          <cell r="J10">
            <v>4.8</v>
          </cell>
          <cell r="K10">
            <v>4.1913999999999998</v>
          </cell>
          <cell r="M10" t="str">
            <v>9月</v>
          </cell>
          <cell r="N10">
            <v>28464.01814384482</v>
          </cell>
          <cell r="O10">
            <v>46382.780324837462</v>
          </cell>
        </row>
        <row r="11">
          <cell r="A11" t="str">
            <v>10月</v>
          </cell>
          <cell r="B11">
            <v>10.664584266349797</v>
          </cell>
          <cell r="D11" t="str">
            <v>10月</v>
          </cell>
          <cell r="E11">
            <v>9.8000000000000007</v>
          </cell>
          <cell r="F11">
            <v>0.29999999999999982</v>
          </cell>
          <cell r="G11">
            <v>5.0500000000000007</v>
          </cell>
          <cell r="I11" t="str">
            <v>10月</v>
          </cell>
          <cell r="J11">
            <v>4.2435999999999998</v>
          </cell>
          <cell r="K11">
            <v>3.4171</v>
          </cell>
          <cell r="M11" t="str">
            <v>10月</v>
          </cell>
          <cell r="N11">
            <v>61507.861781161257</v>
          </cell>
          <cell r="O11">
            <v>99681.805875731792</v>
          </cell>
        </row>
        <row r="12">
          <cell r="A12" t="str">
            <v>11月</v>
          </cell>
          <cell r="B12">
            <v>9.2107817269280599</v>
          </cell>
          <cell r="D12" t="str">
            <v>11月</v>
          </cell>
          <cell r="E12">
            <v>-1.7999999999999998</v>
          </cell>
          <cell r="F12">
            <v>-11.3</v>
          </cell>
          <cell r="G12">
            <v>-6.5500000000000007</v>
          </cell>
          <cell r="I12" t="str">
            <v>11月</v>
          </cell>
          <cell r="J12">
            <v>3.2343999999999999</v>
          </cell>
          <cell r="K12">
            <v>2.4079000000000002</v>
          </cell>
          <cell r="M12" t="str">
            <v>11月</v>
          </cell>
          <cell r="N12">
            <v>90642.934543429961</v>
          </cell>
          <cell r="O12">
            <v>169977.80973099411</v>
          </cell>
        </row>
        <row r="13">
          <cell r="A13" t="str">
            <v>12月</v>
          </cell>
          <cell r="B13">
            <v>8.4886967693202315</v>
          </cell>
          <cell r="D13" t="str">
            <v>12月</v>
          </cell>
          <cell r="E13">
            <v>-10.9</v>
          </cell>
          <cell r="F13">
            <v>-20.399999999999999</v>
          </cell>
          <cell r="G13">
            <v>-15.649999999999999</v>
          </cell>
          <cell r="I13" t="str">
            <v>12月</v>
          </cell>
          <cell r="J13">
            <v>2.4427000000000003</v>
          </cell>
          <cell r="K13">
            <v>2.4</v>
          </cell>
          <cell r="M13" t="str">
            <v>12月</v>
          </cell>
          <cell r="N13">
            <v>115632.14456721619</v>
          </cell>
          <cell r="O13">
            <v>237778.5994731049</v>
          </cell>
        </row>
        <row r="16">
          <cell r="E16" t="str">
            <v>年總操作成本(元/年)</v>
          </cell>
          <cell r="F16" t="str">
            <v>單位面積年總操作成本(元/m²·year)</v>
          </cell>
          <cell r="I16" t="str">
            <v>Boiler-only成本</v>
          </cell>
          <cell r="J16" t="str">
            <v>HP-only成本</v>
          </cell>
          <cell r="K16" t="str">
            <v>Hybrid成本</v>
          </cell>
          <cell r="L16" t="str">
            <v>Hybrid_OPT成本</v>
          </cell>
          <cell r="O16" t="str">
            <v>Boiler-only排放</v>
          </cell>
          <cell r="P16" t="str">
            <v>HP-only排放</v>
          </cell>
          <cell r="Q16" t="str">
            <v>Hybrid排放</v>
          </cell>
          <cell r="R16" t="str">
            <v>Hybrid_OPT排放</v>
          </cell>
        </row>
        <row r="17">
          <cell r="A17" t="str">
            <v>Solar</v>
          </cell>
          <cell r="B17">
            <v>77331.137204156839</v>
          </cell>
          <cell r="D17" t="str">
            <v>Boiler-only</v>
          </cell>
          <cell r="E17">
            <v>3543252.0612612707</v>
          </cell>
          <cell r="F17">
            <v>3543.2520612612707</v>
          </cell>
          <cell r="H17" t="str">
            <v>1月</v>
          </cell>
          <cell r="I17">
            <v>662726.43712651706</v>
          </cell>
          <cell r="J17">
            <v>433946.8870985423</v>
          </cell>
          <cell r="K17">
            <v>505015.13620500651</v>
          </cell>
          <cell r="L17">
            <v>420811.25540556922</v>
          </cell>
          <cell r="N17" t="str">
            <v>1月</v>
          </cell>
          <cell r="O17">
            <v>83167.197411099289</v>
          </cell>
          <cell r="P17">
            <v>99999.316854718418</v>
          </cell>
          <cell r="Q17">
            <v>91732.010675142374</v>
          </cell>
          <cell r="R17">
            <v>96973.747436345773</v>
          </cell>
        </row>
        <row r="18">
          <cell r="A18" t="str">
            <v>HP</v>
          </cell>
          <cell r="B18">
            <v>1213665.2554088642</v>
          </cell>
          <cell r="D18" t="str">
            <v>HP-only</v>
          </cell>
          <cell r="E18">
            <v>2010003.1892679087</v>
          </cell>
          <cell r="F18">
            <v>2010.0031892679087</v>
          </cell>
          <cell r="H18" t="str">
            <v>2月</v>
          </cell>
          <cell r="I18">
            <v>517579.59384840785</v>
          </cell>
          <cell r="J18">
            <v>331735.76257116604</v>
          </cell>
          <cell r="K18">
            <v>388740.05819082109</v>
          </cell>
          <cell r="L18">
            <v>321130.10346902173</v>
          </cell>
          <cell r="N18" t="str">
            <v>2月</v>
          </cell>
          <cell r="O18">
            <v>64952.357181021194</v>
          </cell>
          <cell r="P18">
            <v>75773.806085634889</v>
          </cell>
          <cell r="Q18">
            <v>70007.801916445358</v>
          </cell>
          <cell r="R18">
            <v>73355.550564913123</v>
          </cell>
        </row>
        <row r="19">
          <cell r="A19" t="str">
            <v>Boiler</v>
          </cell>
          <cell r="B19">
            <v>697857.52186009847</v>
          </cell>
          <cell r="D19" t="str">
            <v>Hybrid</v>
          </cell>
          <cell r="E19">
            <v>2507207.9179460374</v>
          </cell>
          <cell r="F19">
            <v>2507.2079179460375</v>
          </cell>
          <cell r="H19" t="str">
            <v>3月</v>
          </cell>
          <cell r="I19">
            <v>428404.33659074834</v>
          </cell>
          <cell r="J19">
            <v>239493.33049859275</v>
          </cell>
          <cell r="K19">
            <v>299521.4185875447</v>
          </cell>
          <cell r="L19">
            <v>232432.36259345862</v>
          </cell>
          <cell r="N19" t="str">
            <v>3月</v>
          </cell>
          <cell r="O19">
            <v>53761.531209614383</v>
          </cell>
          <cell r="P19">
            <v>54598.604575492202</v>
          </cell>
          <cell r="Q19">
            <v>52856.711892862484</v>
          </cell>
          <cell r="R19">
            <v>52950.017334476259</v>
          </cell>
        </row>
        <row r="20">
          <cell r="D20" t="str">
            <v>Hybrid_OPT</v>
          </cell>
          <cell r="E20">
            <v>1955691.5736308198</v>
          </cell>
          <cell r="F20">
            <v>1955.6915736308199</v>
          </cell>
          <cell r="H20" t="str">
            <v>4月</v>
          </cell>
          <cell r="I20">
            <v>251933.5760365263</v>
          </cell>
          <cell r="J20">
            <v>107722.16000549556</v>
          </cell>
          <cell r="K20">
            <v>154989.12177469331</v>
          </cell>
          <cell r="L20">
            <v>104388.64900056788</v>
          </cell>
          <cell r="N20" t="str">
            <v>4月</v>
          </cell>
          <cell r="O20">
            <v>31615.774290763718</v>
          </cell>
          <cell r="P20">
            <v>24065.031489079189</v>
          </cell>
          <cell r="Q20">
            <v>25968.769155060487</v>
          </cell>
          <cell r="R20">
            <v>23253.018536296611</v>
          </cell>
        </row>
        <row r="21">
          <cell r="H21" t="str">
            <v>5月</v>
          </cell>
          <cell r="I21">
            <v>135318.75560547918</v>
          </cell>
          <cell r="J21">
            <v>49981.243046749805</v>
          </cell>
          <cell r="K21">
            <v>78388.771779891307</v>
          </cell>
          <cell r="L21">
            <v>48526.697921501611</v>
          </cell>
          <cell r="N21" t="str">
            <v>5月</v>
          </cell>
          <cell r="O21">
            <v>16981.488937820563</v>
          </cell>
          <cell r="P21">
            <v>11094.498150563877</v>
          </cell>
          <cell r="Q21">
            <v>12811.456421095871</v>
          </cell>
          <cell r="R21">
            <v>10722.136431690058</v>
          </cell>
        </row>
        <row r="22">
          <cell r="H22" t="str">
            <v>6月</v>
          </cell>
          <cell r="I22">
            <v>38367.069278691219</v>
          </cell>
          <cell r="J22">
            <v>12355.437924246788</v>
          </cell>
          <cell r="K22">
            <v>21673.658591165968</v>
          </cell>
          <cell r="L22">
            <v>12351.30925452828</v>
          </cell>
          <cell r="N22" t="str">
            <v>6月</v>
          </cell>
          <cell r="O22">
            <v>4814.7794414561486</v>
          </cell>
          <cell r="P22">
            <v>2963.4627353879819</v>
          </cell>
          <cell r="Q22">
            <v>3606.9461177596922</v>
          </cell>
          <cell r="R22">
            <v>2931.5996618635404</v>
          </cell>
        </row>
        <row r="23">
          <cell r="H23" t="str">
            <v>7月</v>
          </cell>
          <cell r="I23">
            <v>14948.481211734874</v>
          </cell>
          <cell r="J23">
            <v>4337.6695509029296</v>
          </cell>
          <cell r="K23">
            <v>8345.3253301578588</v>
          </cell>
          <cell r="L23">
            <v>4474.661874461789</v>
          </cell>
          <cell r="N23" t="str">
            <v>7月</v>
          </cell>
          <cell r="O23">
            <v>1875.9222784636349</v>
          </cell>
          <cell r="P23">
            <v>1127.7940832347617</v>
          </cell>
          <cell r="Q23">
            <v>1419.0426176346957</v>
          </cell>
          <cell r="R23">
            <v>1140.5634187624821</v>
          </cell>
        </row>
        <row r="24">
          <cell r="H24" t="str">
            <v>8月</v>
          </cell>
          <cell r="I24">
            <v>26603.798530736742</v>
          </cell>
          <cell r="J24">
            <v>7737.6845658716429</v>
          </cell>
          <cell r="K24">
            <v>14860.689839305192</v>
          </cell>
          <cell r="L24">
            <v>7976.7793018590137</v>
          </cell>
          <cell r="N24" t="str">
            <v>8月</v>
          </cell>
          <cell r="O24">
            <v>3338.5771871184738</v>
          </cell>
          <cell r="P24">
            <v>2011.793669214409</v>
          </cell>
          <cell r="Q24">
            <v>2527.6827968730904</v>
          </cell>
          <cell r="R24">
            <v>2033.2990822851077</v>
          </cell>
        </row>
        <row r="25">
          <cell r="H25" t="str">
            <v>9月</v>
          </cell>
          <cell r="I25">
            <v>128773.34523460396</v>
          </cell>
          <cell r="J25">
            <v>46184.509940614254</v>
          </cell>
          <cell r="K25">
            <v>74609.614126226734</v>
          </cell>
          <cell r="L25">
            <v>45394.08617572701</v>
          </cell>
          <cell r="N25" t="str">
            <v>9月</v>
          </cell>
          <cell r="O25">
            <v>16160.089026853506</v>
          </cell>
          <cell r="P25">
            <v>10625.289852661193</v>
          </cell>
          <cell r="Q25">
            <v>12368.427762123607</v>
          </cell>
          <cell r="R25">
            <v>10377.653645269409</v>
          </cell>
        </row>
        <row r="26">
          <cell r="H26" t="str">
            <v>10月</v>
          </cell>
          <cell r="I26">
            <v>277288.40863631072</v>
          </cell>
          <cell r="J26">
            <v>118128.78648852986</v>
          </cell>
          <cell r="K26">
            <v>172229.91989273473</v>
          </cell>
          <cell r="L26">
            <v>115791.50711138931</v>
          </cell>
          <cell r="N26" t="str">
            <v>10月</v>
          </cell>
          <cell r="O26">
            <v>34797.615620792152</v>
          </cell>
          <cell r="P26">
            <v>27333.205958521325</v>
          </cell>
          <cell r="Q26">
            <v>29412.953218760995</v>
          </cell>
          <cell r="R26">
            <v>26678.515625914817</v>
          </cell>
        </row>
        <row r="27">
          <cell r="H27" t="str">
            <v>11月</v>
          </cell>
          <cell r="I27">
            <v>449910.93372695107</v>
          </cell>
          <cell r="J27">
            <v>263327.92030437884</v>
          </cell>
          <cell r="K27">
            <v>325033.23406819976</v>
          </cell>
          <cell r="L27">
            <v>258032.36231459765</v>
          </cell>
          <cell r="N27" t="str">
            <v>11月</v>
          </cell>
          <cell r="O27">
            <v>56460.447850729302</v>
          </cell>
          <cell r="P27">
            <v>61936.327720787958</v>
          </cell>
          <cell r="Q27">
            <v>58898.696366804717</v>
          </cell>
          <cell r="R27">
            <v>60586.615224845307</v>
          </cell>
        </row>
        <row r="28">
          <cell r="H28" t="str">
            <v>12月</v>
          </cell>
          <cell r="I28">
            <v>611397.32543456322</v>
          </cell>
          <cell r="J28">
            <v>395051.79727281764</v>
          </cell>
          <cell r="K28">
            <v>463800.96956029028</v>
          </cell>
          <cell r="L28">
            <v>384381.79920813791</v>
          </cell>
          <cell r="N28" t="str">
            <v>12月</v>
          </cell>
          <cell r="O28">
            <v>76725.778862096777</v>
          </cell>
          <cell r="P28">
            <v>91700.818063301747</v>
          </cell>
          <cell r="Q28">
            <v>84487.709022655617</v>
          </cell>
          <cell r="R28">
            <v>89174.621248675088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3184-665D-4282-9916-AA935DB5A5C5}">
  <dimension ref="B1:C18"/>
  <sheetViews>
    <sheetView tabSelected="1" workbookViewId="0">
      <selection activeCell="A5" sqref="A5"/>
    </sheetView>
  </sheetViews>
  <sheetFormatPr defaultColWidth="8.6328125" defaultRowHeight="12.5"/>
  <cols>
    <col min="1" max="1" width="18.1796875" style="117" customWidth="1"/>
    <col min="2" max="2" width="17.1796875" style="118" customWidth="1"/>
    <col min="3" max="3" width="110.90625" style="118" customWidth="1"/>
    <col min="4" max="4" width="27" style="117" customWidth="1"/>
    <col min="5" max="16384" width="8.6328125" style="117"/>
  </cols>
  <sheetData>
    <row r="1" spans="2:3" ht="5.5" customHeight="1"/>
    <row r="2" spans="2:3" s="121" customFormat="1" ht="28.5" customHeight="1" thickBot="1">
      <c r="B2" s="229" t="s">
        <v>252</v>
      </c>
      <c r="C2" s="230"/>
    </row>
    <row r="3" spans="2:3" s="121" customFormat="1" ht="24" customHeight="1" thickBot="1">
      <c r="B3" s="231" t="s">
        <v>306</v>
      </c>
      <c r="C3" s="232"/>
    </row>
    <row r="4" spans="2:3" s="121" customFormat="1" ht="1.5" customHeight="1" thickBot="1">
      <c r="B4" s="226"/>
      <c r="C4" s="227"/>
    </row>
    <row r="5" spans="2:3" s="121" customFormat="1" ht="35" customHeight="1">
      <c r="B5" s="218" t="s">
        <v>291</v>
      </c>
      <c r="C5" s="219" t="s">
        <v>290</v>
      </c>
    </row>
    <row r="6" spans="2:3" s="121" customFormat="1" ht="2.5" customHeight="1" thickBot="1">
      <c r="B6" s="224"/>
      <c r="C6" s="225"/>
    </row>
    <row r="7" spans="2:3" s="121" customFormat="1" ht="38.5" customHeight="1">
      <c r="B7" s="214" t="s">
        <v>292</v>
      </c>
      <c r="C7" s="216" t="s">
        <v>297</v>
      </c>
    </row>
    <row r="8" spans="2:3" s="121" customFormat="1" ht="7" customHeight="1">
      <c r="B8" s="213"/>
      <c r="C8" s="212"/>
    </row>
    <row r="9" spans="2:3" s="121" customFormat="1" ht="16.5" customHeight="1">
      <c r="B9" s="213" t="s">
        <v>293</v>
      </c>
      <c r="C9" s="212" t="s">
        <v>298</v>
      </c>
    </row>
    <row r="10" spans="2:3" s="121" customFormat="1" ht="6" customHeight="1">
      <c r="B10" s="215"/>
      <c r="C10" s="212"/>
    </row>
    <row r="11" spans="2:3" s="121" customFormat="1" ht="16.5" customHeight="1">
      <c r="B11" s="213" t="s">
        <v>294</v>
      </c>
      <c r="C11" s="217" t="s">
        <v>289</v>
      </c>
    </row>
    <row r="12" spans="2:3" s="121" customFormat="1" ht="6.5" customHeight="1">
      <c r="B12" s="215"/>
      <c r="C12" s="212"/>
    </row>
    <row r="13" spans="2:3" s="121" customFormat="1" ht="7.5" customHeight="1">
      <c r="B13" s="215"/>
      <c r="C13" s="212"/>
    </row>
    <row r="14" spans="2:3" s="121" customFormat="1" ht="37" customHeight="1">
      <c r="B14" s="213" t="s">
        <v>295</v>
      </c>
      <c r="C14" s="212" t="s">
        <v>299</v>
      </c>
    </row>
    <row r="15" spans="2:3" s="121" customFormat="1" ht="6" customHeight="1">
      <c r="B15" s="215"/>
      <c r="C15" s="212"/>
    </row>
    <row r="16" spans="2:3" s="121" customFormat="1" ht="24" customHeight="1">
      <c r="B16" s="213" t="s">
        <v>296</v>
      </c>
      <c r="C16" s="212" t="s">
        <v>300</v>
      </c>
    </row>
    <row r="17" spans="2:3" ht="9" customHeight="1" thickBot="1">
      <c r="B17" s="120"/>
      <c r="C17" s="119"/>
    </row>
    <row r="18" spans="2:3" ht="4.5" customHeight="1">
      <c r="B18" s="228"/>
      <c r="C18" s="228"/>
    </row>
  </sheetData>
  <mergeCells count="2">
    <mergeCell ref="B2:C2"/>
    <mergeCell ref="B3:C3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0"/>
  <sheetViews>
    <sheetView showGridLines="0" workbookViewId="0">
      <selection activeCell="G14" sqref="G14"/>
    </sheetView>
  </sheetViews>
  <sheetFormatPr defaultColWidth="8.6328125" defaultRowHeight="12.5"/>
  <cols>
    <col min="1" max="1" width="20" style="1" customWidth="1"/>
    <col min="2" max="2" width="14" style="1" customWidth="1"/>
    <col min="3" max="3" width="4" style="1" customWidth="1"/>
    <col min="4" max="4" width="24.81640625" style="2" customWidth="1"/>
    <col min="5" max="5" width="17.08984375" style="1" customWidth="1"/>
    <col min="6" max="6" width="6.81640625" style="1" customWidth="1"/>
    <col min="7" max="7" width="12.81640625" style="1" customWidth="1"/>
    <col min="8" max="8" width="14" style="1" customWidth="1"/>
    <col min="9" max="9" width="6.54296875" style="1" customWidth="1"/>
    <col min="10" max="10" width="14" style="1" customWidth="1"/>
    <col min="11" max="11" width="6" style="1" customWidth="1"/>
    <col min="12" max="12" width="14" style="1" customWidth="1"/>
    <col min="13" max="13" width="5.90625" style="1" customWidth="1"/>
    <col min="14" max="14" width="14" style="1" customWidth="1"/>
    <col min="15" max="15" width="5.6328125" style="1" customWidth="1"/>
    <col min="16" max="17" width="11.36328125" style="1" customWidth="1"/>
    <col min="18" max="18" width="11.453125" style="1" customWidth="1"/>
    <col min="19" max="19" width="10.6328125" style="1" customWidth="1"/>
    <col min="20" max="21" width="10.1796875" style="1" customWidth="1"/>
    <col min="22" max="22" width="10.90625" style="2" customWidth="1"/>
    <col min="23" max="23" width="8.81640625" style="1" customWidth="1"/>
    <col min="24" max="24" width="11.36328125" style="1" customWidth="1"/>
    <col min="25" max="25" width="12.36328125" style="1" customWidth="1"/>
    <col min="26" max="26" width="11.6328125" style="2" customWidth="1"/>
    <col min="27" max="27" width="12.36328125" style="2" customWidth="1"/>
    <col min="28" max="28" width="26" style="1" customWidth="1"/>
    <col min="29" max="30" width="14" style="1" customWidth="1"/>
    <col min="31" max="31" width="10" style="1" customWidth="1"/>
    <col min="32" max="36" width="12" style="1" customWidth="1"/>
    <col min="37" max="37" width="14" style="1" customWidth="1"/>
  </cols>
  <sheetData>
    <row r="1" spans="1:37" s="2" customFormat="1" ht="16.5" customHeight="1" thickBot="1">
      <c r="A1" s="239" t="s">
        <v>0</v>
      </c>
      <c r="B1" s="241"/>
      <c r="C1" s="83"/>
      <c r="D1" s="239" t="s">
        <v>1</v>
      </c>
      <c r="E1" s="241"/>
      <c r="F1" s="83"/>
      <c r="G1" s="242" t="s">
        <v>2</v>
      </c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0"/>
      <c r="AB1" s="83"/>
      <c r="AC1" s="83"/>
      <c r="AD1" s="83"/>
      <c r="AE1" s="83"/>
      <c r="AF1" s="83"/>
    </row>
    <row r="2" spans="1:37" s="2" customFormat="1" ht="35" customHeight="1" thickBot="1">
      <c r="A2" s="123" t="s">
        <v>3</v>
      </c>
      <c r="B2" s="127" t="s">
        <v>4</v>
      </c>
      <c r="C2" s="85"/>
      <c r="D2" s="123" t="s">
        <v>5</v>
      </c>
      <c r="E2" s="124">
        <v>0.05</v>
      </c>
      <c r="F2" s="86"/>
      <c r="G2" s="87" t="s">
        <v>6</v>
      </c>
      <c r="H2" s="131" t="s">
        <v>7</v>
      </c>
      <c r="I2" s="143" t="s">
        <v>8</v>
      </c>
      <c r="J2" s="131" t="s">
        <v>9</v>
      </c>
      <c r="K2" s="143" t="s">
        <v>10</v>
      </c>
      <c r="L2" s="87" t="s">
        <v>11</v>
      </c>
      <c r="M2" s="143" t="s">
        <v>12</v>
      </c>
      <c r="N2" s="87" t="s">
        <v>13</v>
      </c>
      <c r="O2" s="143" t="s">
        <v>14</v>
      </c>
      <c r="P2" s="143" t="s">
        <v>15</v>
      </c>
      <c r="Q2" s="143" t="s">
        <v>16</v>
      </c>
      <c r="R2" s="87" t="s">
        <v>17</v>
      </c>
      <c r="S2" s="87" t="s">
        <v>18</v>
      </c>
      <c r="T2" s="143" t="s">
        <v>19</v>
      </c>
      <c r="U2" s="143" t="s">
        <v>20</v>
      </c>
      <c r="V2" s="143" t="s">
        <v>21</v>
      </c>
      <c r="W2" s="143" t="s">
        <v>22</v>
      </c>
      <c r="X2" s="87" t="s">
        <v>23</v>
      </c>
      <c r="Y2" s="87" t="s">
        <v>24</v>
      </c>
      <c r="Z2" s="87" t="s">
        <v>25</v>
      </c>
      <c r="AA2" s="87" t="s">
        <v>26</v>
      </c>
      <c r="AB2" s="85"/>
      <c r="AC2" s="85"/>
      <c r="AD2" s="85"/>
      <c r="AE2" s="85"/>
      <c r="AF2" s="85"/>
      <c r="AG2" s="4"/>
      <c r="AH2" s="4"/>
      <c r="AI2" s="4"/>
      <c r="AJ2" s="4"/>
      <c r="AK2" s="4"/>
    </row>
    <row r="3" spans="1:37" s="2" customFormat="1" ht="16.5" customHeight="1" thickBot="1">
      <c r="A3" s="84" t="s">
        <v>27</v>
      </c>
      <c r="B3" s="128">
        <v>25</v>
      </c>
      <c r="C3" s="83"/>
      <c r="D3" s="123" t="s">
        <v>28</v>
      </c>
      <c r="E3" s="124">
        <v>0.57142857142857095</v>
      </c>
      <c r="F3" s="89"/>
      <c r="G3" s="123" t="s">
        <v>29</v>
      </c>
      <c r="H3" s="130" t="s">
        <v>30</v>
      </c>
      <c r="I3" s="135">
        <v>1</v>
      </c>
      <c r="J3" s="130"/>
      <c r="K3" s="132">
        <v>0</v>
      </c>
      <c r="L3" s="137"/>
      <c r="M3" s="133">
        <v>0</v>
      </c>
      <c r="N3" s="137"/>
      <c r="O3" s="133">
        <v>0</v>
      </c>
      <c r="P3" s="138">
        <f>IFERROR(INDEX(設備查表!$E$2:$E$9,MATCH($H3,設備查表!$D$2:$D$9,0))*$I3,0)+IFERROR(INDEX(設備查表!$E$2:$E$9,MATCH($J3,設備查表!$D$2:$D$9,0))*$K3,0)</f>
        <v>800</v>
      </c>
      <c r="Q3" s="138">
        <f>IFERROR(INDEX(設備查表!$E$2:$E$9,MATCH($L3,設備查表!$D$2:$D$9,0))*$M3,0)+IFERROR(INDEX(設備查表!$E$2:$E$9,MATCH($N3,設備查表!$D$2:$D$9,0))*$O3,0)</f>
        <v>0</v>
      </c>
      <c r="R3" s="139">
        <f>IFERROR(INDEX(設備查表!$G$2:$G$9,MATCH($H3,設備查表!$D$2:$D$9,0))*$I3,0)+IFERROR(INDEX(設備查表!$G$2:$G$9,MATCH($J3,設備查表!$D$2:$D$9,0))*$K3,0)+IFERROR(INDEX(設備查表!$G$2:$G$9,MATCH($L3,設備查表!$D$2:$D$9,0))*$M3,0)+IFERROR(INDEX(設備查表!$G$2:$G$9,MATCH($N3,設備查表!$D$2:$D$9,0))*$O3,0)</f>
        <v>1760000</v>
      </c>
      <c r="S3" s="140">
        <f>IF(P3=0,"",(IFERROR(INDEX(設備查表!$H$2:$H$9,MATCH($H3,設備查表!$D$2:$D$9,0))*INDEX(設備查表!$E$2:$E$9,MATCH($H3,設備查表!$D$2:$D$9,0))*$I3,0)+IFERROR(INDEX(設備查表!$H$2:$H$9,MATCH($J3,設備查表!$D$2:$D$9,0))*INDEX(設備查表!$E$2:$E$9,MATCH($J3,設備查表!$D$2:$D$9,0))*$K3,0))/P3)</f>
        <v>0.9</v>
      </c>
      <c r="T3" s="141" t="str">
        <f>IF(Q3=0,"",(IFERROR(INDEX(設備查表!$H$2:$H$9,MATCH($L3,設備查表!$D$2:$D$9,0))*INDEX(設備查表!$E$2:$E$9,MATCH($L3,設備查表!$D$2:$D$9,0))*$M3,0)+IFERROR(INDEX(設備查表!$H$2:$H$9,MATCH($N3,設備查表!$D$2:$D$9,0))*INDEX(設備查表!$E$2:$E$9,MATCH($N3,設備查表!$D$2:$D$9,0))*$O3,0))/Q3)</f>
        <v/>
      </c>
      <c r="U3" s="138">
        <f>MAX(MAX(計算!$G$2:$G$13),MAX(計算!$H$2:$H$13))*$B$17*$E$10/1000</f>
        <v>589.72320000000002</v>
      </c>
      <c r="V3" s="138">
        <f>P3+Q3*$E$11</f>
        <v>800</v>
      </c>
      <c r="W3" s="138">
        <f>MAX(0,U3-V3)</f>
        <v>0</v>
      </c>
      <c r="X3" s="140">
        <f>IF(U3=0,"",P3/U3)</f>
        <v>1.3565686410166669</v>
      </c>
      <c r="Y3" s="140">
        <f>IF(U3=0,"",Q3*$E$11/U3)</f>
        <v>0</v>
      </c>
      <c r="Z3" s="140">
        <f>IF(U3=0,"",V3/U3)</f>
        <v>1.3565686410166669</v>
      </c>
      <c r="AA3" s="142" t="str">
        <f>IF(V3&gt;=U3,"足夠","能力不足")</f>
        <v>足夠</v>
      </c>
      <c r="AB3" s="90"/>
      <c r="AC3" s="90"/>
      <c r="AD3" s="90"/>
      <c r="AE3" s="90"/>
      <c r="AF3" s="90"/>
      <c r="AG3" s="87" t="s">
        <v>6</v>
      </c>
      <c r="AH3" s="87" t="s">
        <v>23</v>
      </c>
      <c r="AI3" s="87" t="s">
        <v>24</v>
      </c>
      <c r="AJ3" s="87" t="s">
        <v>25</v>
      </c>
      <c r="AK3" s="87" t="s">
        <v>31</v>
      </c>
    </row>
    <row r="4" spans="1:37" s="2" customFormat="1" ht="16.5" customHeight="1" thickBot="1">
      <c r="A4" s="84" t="s">
        <v>32</v>
      </c>
      <c r="B4" s="88">
        <v>20</v>
      </c>
      <c r="C4" s="85"/>
      <c r="D4" s="123" t="s">
        <v>33</v>
      </c>
      <c r="E4" s="145">
        <f>1-$E$2-$E$3</f>
        <v>0.378571428571429</v>
      </c>
      <c r="F4" s="89"/>
      <c r="G4" s="84" t="s">
        <v>34</v>
      </c>
      <c r="H4" s="134"/>
      <c r="I4" s="133">
        <v>0</v>
      </c>
      <c r="J4" s="134"/>
      <c r="K4" s="136">
        <v>0</v>
      </c>
      <c r="L4" s="130" t="s">
        <v>35</v>
      </c>
      <c r="M4" s="135">
        <v>1</v>
      </c>
      <c r="N4" s="130" t="s">
        <v>36</v>
      </c>
      <c r="O4" s="132">
        <v>1</v>
      </c>
      <c r="P4" s="138">
        <f>IFERROR(INDEX(設備查表!$E$2:$E$9,MATCH($H4,設備查表!$D$2:$D$9,0))*$I4,0)+IFERROR(INDEX(設備查表!$E$2:$E$9,MATCH($J4,設備查表!$D$2:$D$9,0))*$K4,0)</f>
        <v>0</v>
      </c>
      <c r="Q4" s="138">
        <f>IFERROR(INDEX(設備查表!$E$2:$E$9,MATCH($L4,設備查表!$D$2:$D$9,0))*$M4,0)+IFERROR(INDEX(設備查表!$E$2:$E$9,MATCH($N4,設備查表!$D$2:$D$9,0))*$O4,0)</f>
        <v>700</v>
      </c>
      <c r="R4" s="139">
        <f>IFERROR(INDEX(設備查表!$G$2:$G$9,MATCH($H4,設備查表!$D$2:$D$9,0))*$I4,0)+IFERROR(INDEX(設備查表!$G$2:$G$9,MATCH($J4,設備查表!$D$2:$D$9,0))*$K4,0)+IFERROR(INDEX(設備查表!$G$2:$G$9,MATCH($L4,設備查表!$D$2:$D$9,0))*$M4,0)+IFERROR(INDEX(設備查表!$G$2:$G$9,MATCH($N4,設備查表!$D$2:$D$9,0))*$O4,0)</f>
        <v>6800000</v>
      </c>
      <c r="S4" s="140" t="str">
        <f>IF(P4=0,"",(IFERROR(INDEX(設備查表!$H$2:$H$9,MATCH($H4,設備查表!$D$2:$D$9,0))*INDEX(設備查表!$E$2:$E$9,MATCH($H4,設備查表!$D$2:$D$9,0))*$I4,0)+IFERROR(INDEX(設備查表!$H$2:$H$9,MATCH($J4,設備查表!$D$2:$D$9,0))*INDEX(設備查表!$E$2:$E$9,MATCH($J4,設備查表!$D$2:$D$9,0))*$K4,0))/P4)</f>
        <v/>
      </c>
      <c r="T4" s="141">
        <f>IF(Q4=0,"",(IFERROR(INDEX(設備查表!$H$2:$H$9,MATCH($L4,設備查表!$D$2:$D$9,0))*INDEX(設備查表!$E$2:$E$9,MATCH($L4,設備查表!$D$2:$D$9,0))*$M4,0)+IFERROR(INDEX(設備查表!$H$2:$H$9,MATCH($N4,設備查表!$D$2:$D$9,0))*INDEX(設備查表!$E$2:$E$9,MATCH($N4,設備查表!$D$2:$D$9,0))*$O4,0))/Q4)</f>
        <v>4.0142857142857142</v>
      </c>
      <c r="U4" s="138">
        <f>MAX(MAX(計算!$G$2:$G$13),MAX(計算!$H$2:$H$13))*$B$17*$E$10/1000</f>
        <v>589.72320000000002</v>
      </c>
      <c r="V4" s="138">
        <f>P4+Q4*$E$11</f>
        <v>595</v>
      </c>
      <c r="W4" s="138">
        <f>MAX(0,U4-V4)</f>
        <v>0</v>
      </c>
      <c r="X4" s="140">
        <f>IF(U4=0,"",P4/U4)</f>
        <v>0</v>
      </c>
      <c r="Y4" s="140">
        <f>IF(U4=0,"",Q4*$E$11/U4)</f>
        <v>1.0089479267561459</v>
      </c>
      <c r="Z4" s="140">
        <f>IF(U4=0,"",V4/U4)</f>
        <v>1.0089479267561459</v>
      </c>
      <c r="AA4" s="142" t="str">
        <f>IF(V4&gt;=U4,"足夠","能力不足")</f>
        <v>足夠</v>
      </c>
      <c r="AB4" s="92"/>
      <c r="AC4" s="92"/>
      <c r="AD4" s="92"/>
      <c r="AE4" s="91"/>
      <c r="AF4" s="92"/>
      <c r="AG4" s="84" t="s">
        <v>29</v>
      </c>
      <c r="AH4" s="7">
        <f t="shared" ref="AH4:AJ7" si="0">X3</f>
        <v>1.3565686410166669</v>
      </c>
      <c r="AI4" s="7">
        <f t="shared" si="0"/>
        <v>0</v>
      </c>
      <c r="AJ4" s="7">
        <f t="shared" si="0"/>
        <v>1.3565686410166669</v>
      </c>
      <c r="AK4" s="6" t="str">
        <f>IF(AA3="足夠","配置足夠",IF(AND(Q3=0,P3&gt;0),"缺熱泵容量",IF(AND(P3=0,Q3&gt;0),"缺鍋爐容量",IF(Y3&lt;$E$3,"熱泵偏少","缺鍋爐容量"))))</f>
        <v>配置足夠</v>
      </c>
    </row>
    <row r="5" spans="1:37" s="2" customFormat="1" ht="16.5" customHeight="1" thickBot="1">
      <c r="A5" s="84" t="s">
        <v>37</v>
      </c>
      <c r="B5" s="148">
        <f>IFERROR(INDEX(氣象查表!$Q$2:$Q$21,MATCH($B$2,氣象查表!$B$2:$B$21,0)),"")</f>
        <v>45.8</v>
      </c>
      <c r="C5" s="85"/>
      <c r="D5" s="123" t="s">
        <v>38</v>
      </c>
      <c r="E5" s="125">
        <v>3.5</v>
      </c>
      <c r="F5" s="93"/>
      <c r="G5" s="123" t="s">
        <v>39</v>
      </c>
      <c r="H5" s="130" t="s">
        <v>228</v>
      </c>
      <c r="I5" s="135">
        <v>1</v>
      </c>
      <c r="J5" s="130"/>
      <c r="K5" s="135">
        <v>0</v>
      </c>
      <c r="L5" s="130" t="s">
        <v>229</v>
      </c>
      <c r="M5" s="135">
        <v>1</v>
      </c>
      <c r="N5" s="130"/>
      <c r="O5" s="132">
        <v>0</v>
      </c>
      <c r="P5" s="138">
        <f>IFERROR(INDEX(設備查表!$E$2:$E$9,MATCH($H5,設備查表!$D$2:$D$9,0))*$I5,0)+IFERROR(INDEX(設備查表!$E$2:$E$9,MATCH($J5,設備查表!$D$2:$D$9,0))*$K5,0)</f>
        <v>500</v>
      </c>
      <c r="Q5" s="138">
        <f>IFERROR(INDEX(設備查表!$E$2:$E$9,MATCH($L5,設備查表!$D$2:$D$9,0))*$M5,0)+IFERROR(INDEX(設備查表!$E$2:$E$9,MATCH($N5,設備查表!$D$2:$D$9,0))*$O5,0)</f>
        <v>200</v>
      </c>
      <c r="R5" s="139">
        <f>IFERROR(INDEX(設備查表!$G$2:$G$9,MATCH($H5,設備查表!$D$2:$D$9,0))*$I5,0)+IFERROR(INDEX(設備查表!$G$2:$G$9,MATCH($J5,設備查表!$D$2:$D$9,0))*$K5,0)+IFERROR(INDEX(設備查表!$G$2:$G$9,MATCH($L5,設備查表!$D$2:$D$9,0))*$M5,0)+IFERROR(INDEX(設備查表!$G$2:$G$9,MATCH($N5,設備查表!$D$2:$D$9,0))*$O5,0)</f>
        <v>3400000</v>
      </c>
      <c r="S5" s="140">
        <f>IF(P5=0,"",(IFERROR(INDEX(設備查表!$H$2:$H$9,MATCH($H5,設備查表!$D$2:$D$9,0))*INDEX(設備查表!$E$2:$E$9,MATCH($H5,設備查表!$D$2:$D$9,0))*$I5,0)+IFERROR(INDEX(設備查表!$H$2:$H$9,MATCH($J5,設備查表!$D$2:$D$9,0))*INDEX(設備查表!$E$2:$E$9,MATCH($J5,設備查表!$D$2:$D$9,0))*$K5,0))/P5)</f>
        <v>0.9</v>
      </c>
      <c r="T5" s="141">
        <f>IF(Q5=0,"",(IFERROR(INDEX(設備查表!$H$2:$H$9,MATCH($L5,設備查表!$D$2:$D$9,0))*INDEX(設備查表!$E$2:$E$9,MATCH($L5,設備查表!$D$2:$D$9,0))*$M5,0)+IFERROR(INDEX(設備查表!$H$2:$H$9,MATCH($N5,設備查表!$D$2:$D$9,0))*INDEX(設備查表!$E$2:$E$9,MATCH($N5,設備查表!$D$2:$D$9,0))*$O5,0))/Q5)</f>
        <v>3.8</v>
      </c>
      <c r="U5" s="138">
        <f>MAX(MAX(計算!$G$2:$G$13),MAX(計算!$H$2:$H$13))*$B$17*$E$10/1000</f>
        <v>589.72320000000002</v>
      </c>
      <c r="V5" s="138">
        <f>P5+Q5*$E$11</f>
        <v>670</v>
      </c>
      <c r="W5" s="138">
        <f>MAX(0,U5-V5)</f>
        <v>0</v>
      </c>
      <c r="X5" s="140">
        <f>IF(U5=0,"",P5/U5)</f>
        <v>0.84785540063541676</v>
      </c>
      <c r="Y5" s="140">
        <f>IF(U5=0,"",Q5*$E$11/U5)</f>
        <v>0.28827083621604166</v>
      </c>
      <c r="Z5" s="140">
        <f>IF(U5=0,"",V5/U5)</f>
        <v>1.1361262368514584</v>
      </c>
      <c r="AA5" s="142" t="str">
        <f>IF(V5&gt;=U5,"足夠","能力不足")</f>
        <v>足夠</v>
      </c>
      <c r="AB5" s="92"/>
      <c r="AC5" s="92"/>
      <c r="AD5" s="92"/>
      <c r="AE5" s="91"/>
      <c r="AF5" s="92"/>
      <c r="AG5" s="84" t="s">
        <v>34</v>
      </c>
      <c r="AH5" s="7">
        <f t="shared" si="0"/>
        <v>0</v>
      </c>
      <c r="AI5" s="7">
        <f t="shared" si="0"/>
        <v>1.0089479267561459</v>
      </c>
      <c r="AJ5" s="7">
        <f t="shared" si="0"/>
        <v>1.0089479267561459</v>
      </c>
      <c r="AK5" s="6" t="str">
        <f>IF(AA4="足夠","配置足夠",IF(AND(Q4=0,P4&gt;0),"缺熱泵容量",IF(AND(P4=0,Q4&gt;0),"缺鍋爐容量",IF(Y4&lt;$E$3,"熱泵偏少","缺鍋爐容量"))))</f>
        <v>配置足夠</v>
      </c>
    </row>
    <row r="6" spans="1:37" s="2" customFormat="1" ht="16.5" customHeight="1" thickBot="1">
      <c r="A6" s="84" t="s">
        <v>42</v>
      </c>
      <c r="B6" s="149">
        <f>IFERROR(INDEX(氣象查表!$R$2:$R$21,MATCH($B$2,氣象查表!$B$2:$B$21,0)),"")</f>
        <v>0.65</v>
      </c>
      <c r="C6" s="85"/>
      <c r="D6" s="123" t="s">
        <v>43</v>
      </c>
      <c r="E6" s="126">
        <v>2.5</v>
      </c>
      <c r="F6" s="93"/>
      <c r="G6" s="123" t="s">
        <v>44</v>
      </c>
      <c r="H6" s="130" t="s">
        <v>40</v>
      </c>
      <c r="I6" s="135">
        <v>1</v>
      </c>
      <c r="J6" s="130"/>
      <c r="K6" s="135">
        <v>0</v>
      </c>
      <c r="L6" s="130" t="s">
        <v>41</v>
      </c>
      <c r="M6" s="135">
        <v>1</v>
      </c>
      <c r="N6" s="130"/>
      <c r="O6" s="132">
        <v>0</v>
      </c>
      <c r="P6" s="138">
        <f>IFERROR(INDEX(設備查表!$E$2:$E$9,MATCH($H6,設備查表!$D$2:$D$9,0))*$I6,0)+IFERROR(INDEX(設備查表!$E$2:$E$9,MATCH($J6,設備查表!$D$2:$D$9,0))*$K6,0)</f>
        <v>300</v>
      </c>
      <c r="Q6" s="138">
        <f>IFERROR(INDEX(設備查表!$E$2:$E$9,MATCH($L6,設備查表!$D$2:$D$9,0))*$M6,0)+IFERROR(INDEX(設備查表!$E$2:$E$9,MATCH($N6,設備查表!$D$2:$D$9,0))*$O6,0)</f>
        <v>400</v>
      </c>
      <c r="R6" s="139">
        <f>IFERROR(INDEX(設備查表!$G$2:$G$9,MATCH($H6,設備查表!$D$2:$D$9,0))*$I6,0)+IFERROR(INDEX(設備查表!$G$2:$G$9,MATCH($J6,設備查表!$D$2:$D$9,0))*$K6,0)+IFERROR(INDEX(設備查表!$G$2:$G$9,MATCH($L6,設備查表!$D$2:$D$9,0))*$M6,0)+IFERROR(INDEX(設備查表!$G$2:$G$9,MATCH($N6,設備查表!$D$2:$D$9,0))*$O6,0)</f>
        <v>4580000</v>
      </c>
      <c r="S6" s="140">
        <f>IF(P6=0,"",(IFERROR(INDEX(設備查表!$H$2:$H$9,MATCH($H6,設備查表!$D$2:$D$9,0))*INDEX(設備查表!$E$2:$E$9,MATCH($H6,設備查表!$D$2:$D$9,0))*$I6,0)+IFERROR(INDEX(設備查表!$H$2:$H$9,MATCH($J6,設備查表!$D$2:$D$9,0))*INDEX(設備查表!$E$2:$E$9,MATCH($J6,設備查表!$D$2:$D$9,0))*$K6,0))/P6)</f>
        <v>0.88</v>
      </c>
      <c r="T6" s="141">
        <f>IF(Q6=0,"",(IFERROR(INDEX(設備查表!$H$2:$H$9,MATCH($L6,設備查表!$D$2:$D$9,0))*INDEX(設備查表!$E$2:$E$9,MATCH($L6,設備查表!$D$2:$D$9,0))*$M6,0)+IFERROR(INDEX(設備查表!$H$2:$H$9,MATCH($N6,設備查表!$D$2:$D$9,0))*INDEX(設備查表!$E$2:$E$9,MATCH($N6,設備查表!$D$2:$D$9,0))*$O6,0))/Q6)</f>
        <v>4</v>
      </c>
      <c r="U6" s="138">
        <f>MAX(MAX(計算!$G$2:$G$13),MAX(計算!$H$2:$H$13))*$B$17*$E$10/1000</f>
        <v>589.72320000000002</v>
      </c>
      <c r="V6" s="138">
        <f>P6+Q6*$E$11</f>
        <v>640</v>
      </c>
      <c r="W6" s="138">
        <f>MAX(0,U6-V6)</f>
        <v>0</v>
      </c>
      <c r="X6" s="140">
        <f>IF(U6=0,"",P6/U6)</f>
        <v>0.50871324038124999</v>
      </c>
      <c r="Y6" s="140">
        <f>IF(U6=0,"",Q6*$E$11/U6)</f>
        <v>0.57654167243208332</v>
      </c>
      <c r="Z6" s="140">
        <f>IF(U6=0,"",V6/U6)</f>
        <v>1.0852549128133333</v>
      </c>
      <c r="AA6" s="142" t="str">
        <f>IF(V6&gt;=U6,"足夠","能力不足")</f>
        <v>足夠</v>
      </c>
      <c r="AB6" s="92"/>
      <c r="AC6" s="92"/>
      <c r="AD6" s="92"/>
      <c r="AE6" s="91"/>
      <c r="AF6" s="92"/>
      <c r="AG6" s="84" t="s">
        <v>39</v>
      </c>
      <c r="AH6" s="7">
        <f t="shared" si="0"/>
        <v>0.84785540063541676</v>
      </c>
      <c r="AI6" s="7">
        <f t="shared" si="0"/>
        <v>0.28827083621604166</v>
      </c>
      <c r="AJ6" s="7">
        <f t="shared" si="0"/>
        <v>1.1361262368514584</v>
      </c>
      <c r="AK6" s="6" t="str">
        <f>IF(AA5="足夠","配置足夠",IF(AND(Q5=0,P5&gt;0),"缺熱泵容量",IF(AND(P5=0,Q5&gt;0),"缺鍋爐容量",IF(Y5&lt;$E$3,"熱泵偏少","缺鍋爐容量"))))</f>
        <v>配置足夠</v>
      </c>
    </row>
    <row r="7" spans="1:37" s="2" customFormat="1" ht="16.5" customHeight="1" thickBot="1">
      <c r="A7" s="4"/>
      <c r="B7" s="4"/>
      <c r="C7" s="85"/>
      <c r="D7" s="123" t="s">
        <v>45</v>
      </c>
      <c r="E7" s="127" t="s">
        <v>46</v>
      </c>
      <c r="F7" s="95"/>
      <c r="G7" s="222"/>
      <c r="H7" s="96"/>
      <c r="I7" s="94"/>
      <c r="J7" s="4"/>
      <c r="K7" s="4"/>
      <c r="L7" s="94"/>
      <c r="M7" s="93"/>
      <c r="N7" s="97"/>
      <c r="O7" s="94"/>
      <c r="P7" s="97"/>
      <c r="Q7" s="93"/>
      <c r="R7" s="97"/>
      <c r="S7" s="94"/>
      <c r="T7" s="97"/>
      <c r="U7" s="92"/>
      <c r="V7" s="92"/>
      <c r="W7" s="98"/>
      <c r="X7" s="99"/>
      <c r="Y7" s="99"/>
      <c r="Z7" s="98"/>
      <c r="AA7" s="98"/>
      <c r="AB7" s="92"/>
      <c r="AC7" s="92"/>
      <c r="AD7" s="92"/>
      <c r="AE7" s="91"/>
      <c r="AF7" s="92"/>
      <c r="AG7" s="84" t="s">
        <v>44</v>
      </c>
      <c r="AH7" s="7">
        <f t="shared" si="0"/>
        <v>0.50871324038124999</v>
      </c>
      <c r="AI7" s="7">
        <f t="shared" si="0"/>
        <v>0.57654167243208332</v>
      </c>
      <c r="AJ7" s="7">
        <f t="shared" si="0"/>
        <v>1.0852549128133333</v>
      </c>
      <c r="AK7" s="6" t="str">
        <f>IF(AA6="足夠","配置足夠",IF(AND(Q6=0,P6&gt;0),"缺熱泵容量",IF(AND(P6=0,Q6&gt;0),"缺鍋爐容量",IF(Y6&lt;$E$3,"熱泵偏少","缺鍋爐容量"))))</f>
        <v>配置足夠</v>
      </c>
    </row>
    <row r="8" spans="1:37" s="2" customFormat="1" ht="16.5" customHeight="1" thickBot="1">
      <c r="A8" s="4"/>
      <c r="B8" s="4"/>
      <c r="C8" s="85"/>
      <c r="D8" s="123" t="s">
        <v>47</v>
      </c>
      <c r="E8" s="146">
        <f>IFERROR(INDEX(燃料查表!$F$2:$F$5,MATCH($E$7,燃料查表!$B$2:$B$5,0)),"")</f>
        <v>1.6096579476861199</v>
      </c>
      <c r="F8" s="95"/>
      <c r="G8" s="223" t="s">
        <v>303</v>
      </c>
      <c r="H8" s="96"/>
      <c r="I8" s="99"/>
      <c r="J8" s="222"/>
      <c r="K8" s="9"/>
      <c r="L8" s="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s="2" customFormat="1" ht="16.5" customHeight="1">
      <c r="A9" s="239" t="s">
        <v>48</v>
      </c>
      <c r="B9" s="240"/>
      <c r="C9" s="85"/>
      <c r="D9" s="144" t="s">
        <v>253</v>
      </c>
      <c r="E9" s="146">
        <f>IFERROR(INDEX(燃料查表!$G$2:$G$5,MATCH($E$7,燃料查表!$B$2:$B$5,0)),"")</f>
        <v>0.20200000000000001</v>
      </c>
      <c r="F9" s="101"/>
      <c r="G9" s="244" t="s">
        <v>302</v>
      </c>
      <c r="H9" s="245"/>
      <c r="I9" s="245"/>
      <c r="J9" s="246"/>
      <c r="K9" s="10"/>
      <c r="L9" s="1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s="2" customFormat="1" ht="16.5" customHeight="1">
      <c r="A10" s="84" t="s">
        <v>49</v>
      </c>
      <c r="B10" s="102">
        <v>1000</v>
      </c>
      <c r="C10" s="85"/>
      <c r="D10" s="84" t="s">
        <v>50</v>
      </c>
      <c r="E10" s="122">
        <v>1.1000000000000001</v>
      </c>
      <c r="F10" s="85"/>
      <c r="G10" s="233" t="s">
        <v>304</v>
      </c>
      <c r="H10" s="234"/>
      <c r="I10" s="234"/>
      <c r="J10" s="235"/>
      <c r="K10" s="10"/>
      <c r="L10" s="1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s="2" customFormat="1" ht="15" customHeight="1" thickBot="1">
      <c r="A11" s="84" t="s">
        <v>51</v>
      </c>
      <c r="B11" s="105">
        <v>1200</v>
      </c>
      <c r="C11" s="85"/>
      <c r="D11" s="84" t="s">
        <v>52</v>
      </c>
      <c r="E11" s="103">
        <v>0.85</v>
      </c>
      <c r="F11" s="85"/>
      <c r="G11" s="236" t="s">
        <v>305</v>
      </c>
      <c r="H11" s="237"/>
      <c r="I11" s="237"/>
      <c r="J11" s="238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s="2" customFormat="1" ht="16.5" customHeight="1" thickBot="1">
      <c r="A12" s="84" t="s">
        <v>53</v>
      </c>
      <c r="B12" s="129">
        <v>600</v>
      </c>
      <c r="C12" s="85"/>
      <c r="D12" s="84" t="s">
        <v>54</v>
      </c>
      <c r="E12" s="147">
        <f>IF($E$3+$E$4=0,"",$E$3/($E$3+$E$4))</f>
        <v>0.60150375939849576</v>
      </c>
      <c r="F12" s="85"/>
      <c r="G12" s="4"/>
      <c r="H12" s="96"/>
      <c r="I12" s="91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s="2" customFormat="1" ht="16.5" customHeight="1" thickBot="1">
      <c r="A13" s="123" t="s">
        <v>55</v>
      </c>
      <c r="B13" s="130" t="s">
        <v>56</v>
      </c>
      <c r="C13" s="85"/>
      <c r="D13" s="84" t="s">
        <v>57</v>
      </c>
      <c r="E13" s="147">
        <f>IF($E$3+$E$4=0,"",$E$4/($E$3+$E$4))</f>
        <v>0.39849624060150424</v>
      </c>
      <c r="F13" s="85"/>
      <c r="G13" s="4"/>
      <c r="H13" s="96"/>
      <c r="I13" s="91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s="2" customFormat="1" ht="16.5" customHeight="1" thickBot="1">
      <c r="A14" s="123" t="s">
        <v>58</v>
      </c>
      <c r="B14" s="130" t="s">
        <v>56</v>
      </c>
      <c r="C14" s="85"/>
      <c r="D14" s="84" t="s">
        <v>59</v>
      </c>
      <c r="E14" s="88">
        <v>7</v>
      </c>
      <c r="F14" s="85"/>
      <c r="G14" s="4"/>
      <c r="H14" s="96"/>
      <c r="I14" s="10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s="2" customFormat="1" ht="16.5" customHeight="1">
      <c r="A15" s="84" t="s">
        <v>60</v>
      </c>
      <c r="B15" s="150">
        <f>SUMIFS(u值查表!$D$2:$D$20,u值查表!$B$2:$B$20,"Roof",u值查表!$C$2:$C$20,$B$13)</f>
        <v>6.8</v>
      </c>
      <c r="C15" s="85"/>
      <c r="D15" s="84" t="s">
        <v>61</v>
      </c>
      <c r="E15" s="155">
        <v>8.7499999999999994E-2</v>
      </c>
      <c r="F15" s="85"/>
      <c r="G15" s="4"/>
      <c r="H15" s="107"/>
      <c r="I15" s="100"/>
      <c r="J15" s="4"/>
      <c r="K15" s="1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s="2" customFormat="1" ht="16.5" customHeight="1">
      <c r="A16" s="84" t="s">
        <v>62</v>
      </c>
      <c r="B16" s="151">
        <f>SUMIFS(u值查表!$D$2:$D$20,u值查表!$B$2:$B$20,"Wall",u值查表!$C$2:$C$20,$B$14)</f>
        <v>6.8</v>
      </c>
      <c r="C16" s="85"/>
      <c r="D16" s="84" t="s">
        <v>63</v>
      </c>
      <c r="E16" s="103">
        <v>1.2</v>
      </c>
      <c r="F16" s="85"/>
      <c r="G16" s="4"/>
      <c r="H16" s="107"/>
      <c r="I16" s="104"/>
      <c r="J16" s="4"/>
      <c r="K16" s="13"/>
      <c r="L16" s="11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s="2" customFormat="1" ht="16.5" customHeight="1">
      <c r="A17" s="84" t="s">
        <v>64</v>
      </c>
      <c r="B17" s="154">
        <f>$B$11*$B$15+$B$12*$B$16</f>
        <v>12240</v>
      </c>
      <c r="C17" s="85"/>
      <c r="D17" s="84" t="s">
        <v>65</v>
      </c>
      <c r="E17" s="103">
        <v>0.6</v>
      </c>
      <c r="F17" s="85"/>
      <c r="G17" s="4"/>
      <c r="H17" s="107"/>
      <c r="I17" s="104"/>
      <c r="J17" s="4"/>
      <c r="K17" s="13"/>
      <c r="L17" s="1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s="2" customFormat="1" ht="16.5" customHeight="1">
      <c r="A18" s="4"/>
      <c r="B18" s="4"/>
      <c r="C18" s="85"/>
      <c r="D18" s="84" t="s">
        <v>66</v>
      </c>
      <c r="E18" s="124">
        <v>0.08</v>
      </c>
      <c r="F18" s="85"/>
      <c r="G18" s="4"/>
      <c r="H18" s="96"/>
      <c r="I18" s="108"/>
      <c r="J18" s="4"/>
      <c r="K18" s="13"/>
      <c r="L18" s="1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s="2" customFormat="1" ht="16.5" customHeight="1">
      <c r="A19" s="4"/>
      <c r="B19" s="4"/>
      <c r="C19" s="85"/>
      <c r="D19" s="84" t="s">
        <v>67</v>
      </c>
      <c r="E19" s="110">
        <v>15</v>
      </c>
      <c r="F19" s="85"/>
      <c r="G19" s="4"/>
      <c r="H19" s="96"/>
      <c r="I19" s="109"/>
      <c r="J19" s="4"/>
      <c r="K19" s="13"/>
      <c r="L19" s="1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s="2" customFormat="1" ht="16.5" customHeight="1">
      <c r="A20" s="4"/>
      <c r="B20" s="4"/>
      <c r="C20" s="85"/>
      <c r="F20" s="85"/>
      <c r="G20" s="4"/>
      <c r="H20" s="96"/>
      <c r="I20" s="111"/>
      <c r="J20" s="4"/>
      <c r="K20" s="3"/>
      <c r="L20" s="8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s="2" customFormat="1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s="2" customFormat="1" ht="16.5" hidden="1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5"/>
    </row>
    <row r="23" spans="1:37" s="2" customFormat="1" ht="16.5" hidden="1" customHeight="1">
      <c r="A23" s="16" t="s">
        <v>68</v>
      </c>
      <c r="B23" s="17">
        <v>31</v>
      </c>
      <c r="C23" s="18">
        <f>INDEX(氣象查表!$C$2:$N$21,MATCH($B$2,氣象查表!$B$2:$B$21,0),1)</f>
        <v>-18.3</v>
      </c>
      <c r="D23" s="18">
        <f>INDEX(氣象查表!$O$2:$O$21,MATCH($B$2,氣象查表!$B$2:$B$21,0))</f>
        <v>4</v>
      </c>
      <c r="E23" s="18">
        <f>INDEX(氣象查表!$P$2:$P$21,MATCH($B$2,氣象查表!$B$2:$B$21,0))</f>
        <v>-5.5</v>
      </c>
      <c r="F23" s="18">
        <f t="shared" ref="F23:F34" si="1">C23+D23</f>
        <v>-14.3</v>
      </c>
      <c r="G23" s="18">
        <f t="shared" ref="G23:G34" si="2">C23+E23</f>
        <v>-23.8</v>
      </c>
      <c r="H23" s="17">
        <v>15</v>
      </c>
      <c r="I23" s="19">
        <f t="shared" ref="I23:I34" si="3">24/PI()*ACOS(-TAN(RADIANS($B$5))*TAN(RADIANS(23.45*SIN(RADIANS(360*(284+H23)/365)))))</f>
        <v>8.8537821615987085</v>
      </c>
      <c r="J23" s="19">
        <f t="shared" ref="J23:J34" si="4">24-I23</f>
        <v>15.146217838401292</v>
      </c>
      <c r="K23" s="20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s="2" customFormat="1" ht="16.5" hidden="1" customHeight="1">
      <c r="A24" s="16" t="s">
        <v>69</v>
      </c>
      <c r="B24" s="17">
        <v>28</v>
      </c>
      <c r="C24" s="18">
        <f>INDEX(氣象查表!$C$2:$N$21,MATCH($B$2,氣象查表!$B$2:$B$21,0),2)</f>
        <v>-13</v>
      </c>
      <c r="D24" s="18">
        <f>INDEX(氣象查表!$O$2:$O$21,MATCH($B$2,氣象查表!$B$2:$B$21,0))</f>
        <v>4</v>
      </c>
      <c r="E24" s="18">
        <f>INDEX(氣象查表!$P$2:$P$21,MATCH($B$2,氣象查表!$B$2:$B$21,0))</f>
        <v>-5.5</v>
      </c>
      <c r="F24" s="18">
        <f t="shared" si="1"/>
        <v>-9</v>
      </c>
      <c r="G24" s="18">
        <f t="shared" si="2"/>
        <v>-18.5</v>
      </c>
      <c r="H24" s="17">
        <v>45</v>
      </c>
      <c r="I24" s="19">
        <f t="shared" si="3"/>
        <v>10.076347370518198</v>
      </c>
      <c r="J24" s="19">
        <f t="shared" si="4"/>
        <v>13.923652629481802</v>
      </c>
      <c r="K24" s="20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s="2" customFormat="1" ht="16.5" hidden="1" customHeight="1">
      <c r="A25" s="16" t="s">
        <v>70</v>
      </c>
      <c r="B25" s="17">
        <v>31</v>
      </c>
      <c r="C25" s="18">
        <f>INDEX(氣象查表!$C$2:$N$21,MATCH($B$2,氣象查表!$B$2:$B$21,0),3)</f>
        <v>-4.2</v>
      </c>
      <c r="D25" s="18">
        <f>INDEX(氣象查表!$O$2:$O$21,MATCH($B$2,氣象查表!$B$2:$B$21,0))</f>
        <v>4</v>
      </c>
      <c r="E25" s="18">
        <f>INDEX(氣象查表!$P$2:$P$21,MATCH($B$2,氣象查表!$B$2:$B$21,0))</f>
        <v>-5.5</v>
      </c>
      <c r="F25" s="18">
        <f t="shared" si="1"/>
        <v>-0.20000000000000018</v>
      </c>
      <c r="G25" s="18">
        <f t="shared" si="2"/>
        <v>-9.6999999999999993</v>
      </c>
      <c r="H25" s="17">
        <v>74</v>
      </c>
      <c r="I25" s="19">
        <f t="shared" si="3"/>
        <v>11.613026853675777</v>
      </c>
      <c r="J25" s="19">
        <f t="shared" si="4"/>
        <v>12.386973146324223</v>
      </c>
      <c r="K25" s="2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s="2" customFormat="1" ht="16.5" hidden="1" customHeight="1">
      <c r="A26" s="16" t="s">
        <v>71</v>
      </c>
      <c r="B26" s="17">
        <v>30</v>
      </c>
      <c r="C26" s="18">
        <f>INDEX(氣象查表!$C$2:$N$21,MATCH($B$2,氣象查表!$B$2:$B$21,0),4)</f>
        <v>6.2</v>
      </c>
      <c r="D26" s="18">
        <f>INDEX(氣象查表!$O$2:$O$21,MATCH($B$2,氣象查表!$B$2:$B$21,0))</f>
        <v>4</v>
      </c>
      <c r="E26" s="18">
        <f>INDEX(氣象查表!$P$2:$P$21,MATCH($B$2,氣象查表!$B$2:$B$21,0))</f>
        <v>-5.5</v>
      </c>
      <c r="F26" s="18">
        <f t="shared" si="1"/>
        <v>10.199999999999999</v>
      </c>
      <c r="G26" s="18">
        <f t="shared" si="2"/>
        <v>0.70000000000000018</v>
      </c>
      <c r="H26" s="17">
        <v>105</v>
      </c>
      <c r="I26" s="19">
        <f t="shared" si="3"/>
        <v>13.30901447935452</v>
      </c>
      <c r="J26" s="19">
        <f t="shared" si="4"/>
        <v>10.69098552064548</v>
      </c>
      <c r="K26" s="2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s="2" customFormat="1" ht="16.5" hidden="1" customHeight="1">
      <c r="A27" s="16" t="s">
        <v>72</v>
      </c>
      <c r="B27" s="17">
        <v>31</v>
      </c>
      <c r="C27" s="18">
        <f>INDEX(氣象查表!$C$2:$N$21,MATCH($B$2,氣象查表!$B$2:$B$21,0),5)</f>
        <v>14</v>
      </c>
      <c r="D27" s="18">
        <f>INDEX(氣象查表!$O$2:$O$21,MATCH($B$2,氣象查表!$B$2:$B$21,0))</f>
        <v>4</v>
      </c>
      <c r="E27" s="18">
        <f>INDEX(氣象查表!$P$2:$P$21,MATCH($B$2,氣象查表!$B$2:$B$21,0))</f>
        <v>-5.5</v>
      </c>
      <c r="F27" s="18">
        <f t="shared" si="1"/>
        <v>18</v>
      </c>
      <c r="G27" s="18">
        <f t="shared" si="2"/>
        <v>8.5</v>
      </c>
      <c r="H27" s="17">
        <v>135</v>
      </c>
      <c r="I27" s="19">
        <f t="shared" si="3"/>
        <v>14.730889231542944</v>
      </c>
      <c r="J27" s="19">
        <f t="shared" si="4"/>
        <v>9.2691107684570557</v>
      </c>
      <c r="K27" s="20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s="2" customFormat="1" ht="16.5" hidden="1" customHeight="1">
      <c r="A28" s="16" t="s">
        <v>73</v>
      </c>
      <c r="B28" s="17">
        <v>30</v>
      </c>
      <c r="C28" s="18">
        <f>INDEX(氣象查表!$C$2:$N$21,MATCH($B$2,氣象查表!$B$2:$B$21,0),6)</f>
        <v>20.100000000000001</v>
      </c>
      <c r="D28" s="18">
        <f>INDEX(氣象查表!$O$2:$O$21,MATCH($B$2,氣象查表!$B$2:$B$21,0))</f>
        <v>4</v>
      </c>
      <c r="E28" s="18">
        <f>INDEX(氣象查表!$P$2:$P$21,MATCH($B$2,氣象查表!$B$2:$B$21,0))</f>
        <v>-5.5</v>
      </c>
      <c r="F28" s="18">
        <f t="shared" si="1"/>
        <v>24.1</v>
      </c>
      <c r="G28" s="18">
        <f t="shared" si="2"/>
        <v>14.600000000000001</v>
      </c>
      <c r="H28" s="17">
        <v>166</v>
      </c>
      <c r="I28" s="19">
        <f t="shared" si="3"/>
        <v>15.507528199951469</v>
      </c>
      <c r="J28" s="19">
        <f t="shared" si="4"/>
        <v>8.4924718000485306</v>
      </c>
      <c r="K28" s="20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s="2" customFormat="1" ht="16.5" hidden="1" customHeight="1">
      <c r="A29" s="16" t="s">
        <v>74</v>
      </c>
      <c r="B29" s="17">
        <v>31</v>
      </c>
      <c r="C29" s="18">
        <f>INDEX(氣象查表!$C$2:$N$21,MATCH($B$2,氣象查表!$B$2:$B$21,0),7)</f>
        <v>23</v>
      </c>
      <c r="D29" s="18">
        <f>INDEX(氣象查表!$O$2:$O$21,MATCH($B$2,氣象查表!$B$2:$B$21,0))</f>
        <v>4</v>
      </c>
      <c r="E29" s="18">
        <f>INDEX(氣象查表!$P$2:$P$21,MATCH($B$2,氣象查表!$B$2:$B$21,0))</f>
        <v>-5.5</v>
      </c>
      <c r="F29" s="18">
        <f t="shared" si="1"/>
        <v>27</v>
      </c>
      <c r="G29" s="18">
        <f t="shared" si="2"/>
        <v>17.5</v>
      </c>
      <c r="H29" s="17">
        <v>196</v>
      </c>
      <c r="I29" s="19">
        <f t="shared" si="3"/>
        <v>15.189047483121184</v>
      </c>
      <c r="J29" s="19">
        <f t="shared" si="4"/>
        <v>8.8109525168788156</v>
      </c>
      <c r="K29" s="20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s="2" customFormat="1" ht="16.5" hidden="1" customHeight="1">
      <c r="A30" s="16" t="s">
        <v>75</v>
      </c>
      <c r="B30" s="17">
        <v>31</v>
      </c>
      <c r="C30" s="18">
        <f>INDEX(氣象查表!$C$2:$N$21,MATCH($B$2,氣象查表!$B$2:$B$21,0),8)</f>
        <v>21.6</v>
      </c>
      <c r="D30" s="18">
        <f>INDEX(氣象查表!$O$2:$O$21,MATCH($B$2,氣象查表!$B$2:$B$21,0))</f>
        <v>4</v>
      </c>
      <c r="E30" s="18">
        <f>INDEX(氣象查表!$P$2:$P$21,MATCH($B$2,氣象查表!$B$2:$B$21,0))</f>
        <v>-5.5</v>
      </c>
      <c r="F30" s="18">
        <f t="shared" si="1"/>
        <v>25.6</v>
      </c>
      <c r="G30" s="18">
        <f t="shared" si="2"/>
        <v>16.100000000000001</v>
      </c>
      <c r="H30" s="17">
        <v>227</v>
      </c>
      <c r="I30" s="19">
        <f t="shared" si="3"/>
        <v>13.94823082498219</v>
      </c>
      <c r="J30" s="19">
        <f t="shared" si="4"/>
        <v>10.05176917501781</v>
      </c>
      <c r="K30" s="20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s="2" customFormat="1" ht="16.5" hidden="1" customHeight="1">
      <c r="A31" s="16" t="s">
        <v>76</v>
      </c>
      <c r="B31" s="17">
        <v>30</v>
      </c>
      <c r="C31" s="18">
        <f>INDEX(氣象查表!$C$2:$N$21,MATCH($B$2,氣象查表!$B$2:$B$21,0),9)</f>
        <v>14.7</v>
      </c>
      <c r="D31" s="18">
        <f>INDEX(氣象查表!$O$2:$O$21,MATCH($B$2,氣象查表!$B$2:$B$21,0))</f>
        <v>4</v>
      </c>
      <c r="E31" s="18">
        <f>INDEX(氣象查表!$P$2:$P$21,MATCH($B$2,氣象查表!$B$2:$B$21,0))</f>
        <v>-5.5</v>
      </c>
      <c r="F31" s="18">
        <f t="shared" si="1"/>
        <v>18.7</v>
      </c>
      <c r="G31" s="18">
        <f t="shared" si="2"/>
        <v>9.1999999999999993</v>
      </c>
      <c r="H31" s="17">
        <v>258</v>
      </c>
      <c r="I31" s="19">
        <f t="shared" si="3"/>
        <v>12.304188774702085</v>
      </c>
      <c r="J31" s="19">
        <f t="shared" si="4"/>
        <v>11.695811225297915</v>
      </c>
      <c r="K31" s="20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s="2" customFormat="1" ht="16.5" hidden="1" customHeight="1">
      <c r="A32" s="16" t="s">
        <v>77</v>
      </c>
      <c r="B32" s="17">
        <v>31</v>
      </c>
      <c r="C32" s="18">
        <f>INDEX(氣象查表!$C$2:$N$21,MATCH($B$2,氣象查表!$B$2:$B$21,0),10)</f>
        <v>5.8</v>
      </c>
      <c r="D32" s="18">
        <f>INDEX(氣象查表!$O$2:$O$21,MATCH($B$2,氣象查表!$B$2:$B$21,0))</f>
        <v>4</v>
      </c>
      <c r="E32" s="18">
        <f>INDEX(氣象查表!$P$2:$P$21,MATCH($B$2,氣象查表!$B$2:$B$21,0))</f>
        <v>-5.5</v>
      </c>
      <c r="F32" s="18">
        <f t="shared" si="1"/>
        <v>9.8000000000000007</v>
      </c>
      <c r="G32" s="18">
        <f t="shared" si="2"/>
        <v>0.29999999999999982</v>
      </c>
      <c r="H32" s="17">
        <v>288</v>
      </c>
      <c r="I32" s="19">
        <f t="shared" si="3"/>
        <v>10.664584266349797</v>
      </c>
      <c r="J32" s="19">
        <f t="shared" si="4"/>
        <v>13.335415733650203</v>
      </c>
      <c r="K32" s="2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s="2" customFormat="1" ht="16.5" hidden="1" customHeight="1">
      <c r="A33" s="16" t="s">
        <v>78</v>
      </c>
      <c r="B33" s="17">
        <v>30</v>
      </c>
      <c r="C33" s="18">
        <f>INDEX(氣象查表!$C$2:$N$21,MATCH($B$2,氣象查表!$B$2:$B$21,0),11)</f>
        <v>-5.8</v>
      </c>
      <c r="D33" s="18">
        <f>INDEX(氣象查表!$O$2:$O$21,MATCH($B$2,氣象查表!$B$2:$B$21,0))</f>
        <v>4</v>
      </c>
      <c r="E33" s="18">
        <f>INDEX(氣象查表!$P$2:$P$21,MATCH($B$2,氣象查表!$B$2:$B$21,0))</f>
        <v>-5.5</v>
      </c>
      <c r="F33" s="18">
        <f t="shared" si="1"/>
        <v>-1.7999999999999998</v>
      </c>
      <c r="G33" s="18">
        <f t="shared" si="2"/>
        <v>-11.3</v>
      </c>
      <c r="H33" s="17">
        <v>319</v>
      </c>
      <c r="I33" s="19">
        <f t="shared" si="3"/>
        <v>9.2107817269280599</v>
      </c>
      <c r="J33" s="19">
        <f t="shared" si="4"/>
        <v>14.78921827307194</v>
      </c>
      <c r="K33" s="20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s="2" customFormat="1" ht="16.5" hidden="1" customHeight="1">
      <c r="A34" s="16" t="s">
        <v>79</v>
      </c>
      <c r="B34" s="17">
        <v>31</v>
      </c>
      <c r="C34" s="18">
        <f>INDEX(氣象查表!$C$2:$N$21,MATCH($B$2,氣象查表!$B$2:$B$21,0),12)</f>
        <v>-14.9</v>
      </c>
      <c r="D34" s="18">
        <f>INDEX(氣象查表!$O$2:$O$21,MATCH($B$2,氣象查表!$B$2:$B$21,0))</f>
        <v>4</v>
      </c>
      <c r="E34" s="18">
        <f>INDEX(氣象查表!$P$2:$P$21,MATCH($B$2,氣象查表!$B$2:$B$21,0))</f>
        <v>-5.5</v>
      </c>
      <c r="F34" s="18">
        <f t="shared" si="1"/>
        <v>-10.9</v>
      </c>
      <c r="G34" s="18">
        <f t="shared" si="2"/>
        <v>-20.399999999999999</v>
      </c>
      <c r="H34" s="17">
        <v>349</v>
      </c>
      <c r="I34" s="19">
        <f t="shared" si="3"/>
        <v>8.4886967693202315</v>
      </c>
      <c r="J34" s="19">
        <f t="shared" si="4"/>
        <v>15.511303230679768</v>
      </c>
      <c r="K34" s="2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s="2" customFormat="1" ht="15" hidden="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s="2" customFormat="1" ht="1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s="2" customFormat="1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s="2" customFormat="1" ht="1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s="2" customFormat="1" ht="1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s="2" customFormat="1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</sheetData>
  <mergeCells count="7">
    <mergeCell ref="G10:J10"/>
    <mergeCell ref="G11:J11"/>
    <mergeCell ref="A9:B9"/>
    <mergeCell ref="D1:E1"/>
    <mergeCell ref="G1:AA1"/>
    <mergeCell ref="A1:B1"/>
    <mergeCell ref="G9:J9"/>
  </mergeCells>
  <phoneticPr fontId="18" type="noConversion"/>
  <dataValidations count="2">
    <dataValidation type="decimal" operator="greaterThanOrEqual" allowBlank="1" sqref="E5:E6 E2:E3 E16:E17 E10:E11" xr:uid="{00000000-0002-0000-0000-000004000000}">
      <formula1>0</formula1>
    </dataValidation>
    <dataValidation type="whole" operator="greaterThanOrEqual" allowBlank="1" sqref="I3:I6 O3:O6 M3:M6 K3:K6" xr:uid="{00000000-0002-0000-0000-00000B000000}">
      <formula1>0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xr:uid="{00000000-0002-0000-0000-000000000000}">
          <x14:formula1>
            <xm:f>氣象查表!$B$2:$B$21</xm:f>
          </x14:formula1>
          <xm:sqref>B2</xm:sqref>
        </x14:dataValidation>
        <x14:dataValidation type="list" allowBlank="1" xr:uid="{00000000-0002-0000-0000-000001000000}">
          <x14:formula1>
            <xm:f>u值查表!$C$2:$C$11</xm:f>
          </x14:formula1>
          <xm:sqref>B13</xm:sqref>
        </x14:dataValidation>
        <x14:dataValidation type="list" allowBlank="1" xr:uid="{00000000-0002-0000-0000-000002000000}">
          <x14:formula1>
            <xm:f>u值查表!$C$12:$C$20</xm:f>
          </x14:formula1>
          <xm:sqref>B14</xm:sqref>
        </x14:dataValidation>
        <x14:dataValidation type="list" allowBlank="1" xr:uid="{00000000-0002-0000-0000-000003000000}">
          <x14:formula1>
            <xm:f>燃料查表!$B$2:$B$5</xm:f>
          </x14:formula1>
          <xm:sqref>E7</xm:sqref>
        </x14:dataValidation>
        <x14:dataValidation type="list" allowBlank="1" xr:uid="{00000000-0002-0000-0000-000007000000}">
          <x14:formula1>
            <xm:f>設備查表!$D$2:$D$5</xm:f>
          </x14:formula1>
          <xm:sqref>H3:H6 J3:J6</xm:sqref>
        </x14:dataValidation>
        <x14:dataValidation type="list" allowBlank="1" xr:uid="{00000000-0002-0000-0000-000009000000}">
          <x14:formula1>
            <xm:f>設備查表!$D$6:$D$9</xm:f>
          </x14:formula1>
          <xm:sqref>L3:L6 N3:N6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C102"/>
  <sheetViews>
    <sheetView showGridLines="0" workbookViewId="0">
      <selection activeCell="C15" sqref="C15"/>
    </sheetView>
  </sheetViews>
  <sheetFormatPr defaultColWidth="8.6328125" defaultRowHeight="12.5"/>
  <cols>
    <col min="1" max="1" width="18" style="1" customWidth="1"/>
    <col min="2" max="6" width="14" style="1" customWidth="1"/>
    <col min="7" max="7" width="10.54296875" style="1" customWidth="1"/>
    <col min="8" max="8" width="9.7265625" style="1" customWidth="1"/>
    <col min="9" max="9" width="11.54296875" style="1" customWidth="1"/>
    <col min="10" max="10" width="10.7265625" style="1" customWidth="1"/>
    <col min="11" max="21" width="14" style="1" customWidth="1"/>
    <col min="22" max="22" width="16" style="1" customWidth="1"/>
    <col min="23" max="41" width="14" style="1" customWidth="1"/>
    <col min="42" max="42" width="14.7265625" style="1" customWidth="1"/>
    <col min="43" max="44" width="14" style="1" customWidth="1"/>
    <col min="45" max="45" width="18" style="1" customWidth="1"/>
    <col min="46" max="46" width="8.26953125" style="1" customWidth="1"/>
    <col min="47" max="47" width="14" style="1" customWidth="1"/>
    <col min="48" max="48" width="8.1796875" style="1" customWidth="1"/>
    <col min="49" max="49" width="12.453125" style="1" customWidth="1"/>
    <col min="50" max="50" width="9.36328125" style="1" customWidth="1"/>
    <col min="51" max="51" width="16" style="1" customWidth="1"/>
    <col min="52" max="52" width="11.26953125" style="1" customWidth="1"/>
    <col min="53" max="53" width="13.08984375" style="1" customWidth="1"/>
    <col min="54" max="54" width="12.81640625" style="1" customWidth="1"/>
    <col min="55" max="55" width="12.90625" style="1" customWidth="1"/>
    <col min="56" max="56" width="13.7265625" style="1" customWidth="1"/>
    <col min="57" max="57" width="14" style="1" customWidth="1"/>
    <col min="58" max="58" width="14.453125" style="1" customWidth="1"/>
    <col min="59" max="59" width="14.54296875" style="1" customWidth="1"/>
    <col min="60" max="60" width="13.90625" style="1" customWidth="1"/>
    <col min="61" max="61" width="18.26953125" style="1" customWidth="1"/>
    <col min="62" max="63" width="20" style="1" customWidth="1"/>
    <col min="64" max="64" width="14" style="1" hidden="1" customWidth="1"/>
    <col min="65" max="66" width="18" style="1" hidden="1" customWidth="1"/>
    <col min="67" max="69" width="14" style="1" hidden="1" customWidth="1"/>
    <col min="70" max="70" width="18" style="1" hidden="1" customWidth="1"/>
    <col min="71" max="74" width="14" style="1" hidden="1" customWidth="1"/>
    <col min="75" max="75" width="18" style="1" hidden="1" customWidth="1"/>
    <col min="76" max="79" width="14" style="1" hidden="1" customWidth="1"/>
    <col min="80" max="89" width="13" style="1" hidden="1" customWidth="1"/>
    <col min="90" max="92" width="14" style="1" hidden="1" customWidth="1"/>
    <col min="93" max="94" width="18" style="1" hidden="1" customWidth="1"/>
    <col min="95" max="101" width="13" style="1" customWidth="1"/>
    <col min="102" max="104" width="13" style="1" hidden="1" customWidth="1"/>
    <col min="105" max="105" width="18" style="1" hidden="1" customWidth="1"/>
    <col min="106" max="107" width="13" style="1" hidden="1" customWidth="1"/>
  </cols>
  <sheetData>
    <row r="1" spans="1:107" s="116" customFormat="1" ht="42" customHeight="1">
      <c r="A1" s="113" t="s">
        <v>80</v>
      </c>
      <c r="B1" s="114" t="s">
        <v>81</v>
      </c>
      <c r="C1" s="114" t="s">
        <v>82</v>
      </c>
      <c r="D1" s="114" t="s">
        <v>83</v>
      </c>
      <c r="E1" s="174" t="s">
        <v>259</v>
      </c>
      <c r="F1" s="174" t="s">
        <v>260</v>
      </c>
      <c r="G1" s="114" t="s">
        <v>84</v>
      </c>
      <c r="H1" s="114" t="s">
        <v>85</v>
      </c>
      <c r="I1" s="114" t="s">
        <v>86</v>
      </c>
      <c r="J1" s="114" t="s">
        <v>87</v>
      </c>
      <c r="K1" s="115" t="s">
        <v>88</v>
      </c>
      <c r="L1" s="114" t="s">
        <v>89</v>
      </c>
      <c r="M1" s="114" t="s">
        <v>90</v>
      </c>
      <c r="N1" s="114" t="s">
        <v>91</v>
      </c>
      <c r="O1" s="114" t="s">
        <v>92</v>
      </c>
      <c r="P1" s="114" t="s">
        <v>93</v>
      </c>
      <c r="Q1" s="114" t="s">
        <v>94</v>
      </c>
      <c r="R1" s="114" t="s">
        <v>95</v>
      </c>
      <c r="S1" s="114" t="s">
        <v>96</v>
      </c>
      <c r="T1" s="114" t="s">
        <v>97</v>
      </c>
      <c r="U1" s="115" t="s">
        <v>98</v>
      </c>
      <c r="V1" s="115" t="s">
        <v>99</v>
      </c>
      <c r="W1" s="114" t="s">
        <v>100</v>
      </c>
      <c r="X1" s="114" t="s">
        <v>101</v>
      </c>
      <c r="Y1" s="114" t="s">
        <v>102</v>
      </c>
      <c r="Z1" s="115" t="s">
        <v>103</v>
      </c>
      <c r="AA1" s="115" t="s">
        <v>104</v>
      </c>
      <c r="AB1" s="115" t="s">
        <v>105</v>
      </c>
      <c r="AC1" s="115" t="s">
        <v>106</v>
      </c>
      <c r="AD1" s="115" t="s">
        <v>107</v>
      </c>
      <c r="AE1" s="115" t="s">
        <v>108</v>
      </c>
      <c r="AF1" s="115" t="s">
        <v>109</v>
      </c>
      <c r="AG1" s="115" t="s">
        <v>110</v>
      </c>
      <c r="AH1" s="115" t="s">
        <v>111</v>
      </c>
      <c r="AI1" s="115" t="s">
        <v>112</v>
      </c>
      <c r="AJ1" s="115" t="s">
        <v>113</v>
      </c>
      <c r="AK1" s="115" t="s">
        <v>114</v>
      </c>
      <c r="AL1" s="115" t="s">
        <v>115</v>
      </c>
      <c r="AM1" s="115" t="s">
        <v>116</v>
      </c>
      <c r="AN1" s="115" t="s">
        <v>117</v>
      </c>
      <c r="AO1" s="115" t="s">
        <v>118</v>
      </c>
      <c r="AP1" s="115" t="s">
        <v>119</v>
      </c>
      <c r="AQ1" s="115" t="s">
        <v>120</v>
      </c>
      <c r="AR1" s="115" t="s">
        <v>121</v>
      </c>
      <c r="AS1" s="115" t="s">
        <v>122</v>
      </c>
      <c r="AT1" s="164" t="s">
        <v>255</v>
      </c>
      <c r="AU1" s="115" t="s">
        <v>123</v>
      </c>
      <c r="AV1" s="165" t="s">
        <v>256</v>
      </c>
      <c r="AW1" s="115" t="s">
        <v>124</v>
      </c>
      <c r="AX1" s="164" t="s">
        <v>257</v>
      </c>
      <c r="AY1" s="115" t="s">
        <v>125</v>
      </c>
      <c r="AZ1" s="165" t="s">
        <v>258</v>
      </c>
      <c r="BA1" s="115" t="s">
        <v>126</v>
      </c>
      <c r="BB1" s="115" t="s">
        <v>127</v>
      </c>
      <c r="BC1" s="115" t="s">
        <v>128</v>
      </c>
      <c r="BD1" s="115" t="s">
        <v>129</v>
      </c>
      <c r="BE1" s="115" t="s">
        <v>130</v>
      </c>
      <c r="BF1" s="115" t="s">
        <v>131</v>
      </c>
      <c r="BG1" s="115" t="s">
        <v>132</v>
      </c>
      <c r="BH1" s="115" t="s">
        <v>133</v>
      </c>
      <c r="BI1" s="115" t="s">
        <v>134</v>
      </c>
      <c r="BJ1" s="115" t="s">
        <v>135</v>
      </c>
      <c r="BK1" s="115" t="s">
        <v>136</v>
      </c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5" t="s">
        <v>137</v>
      </c>
      <c r="CM1" s="115" t="s">
        <v>138</v>
      </c>
      <c r="CN1" s="115" t="s">
        <v>139</v>
      </c>
      <c r="CO1" s="115" t="s">
        <v>140</v>
      </c>
      <c r="CP1" s="115" t="s">
        <v>141</v>
      </c>
      <c r="CX1" s="116" t="s">
        <v>142</v>
      </c>
      <c r="CY1" s="116" t="s">
        <v>143</v>
      </c>
      <c r="CZ1" s="116" t="s">
        <v>144</v>
      </c>
      <c r="DA1" s="116" t="s">
        <v>145</v>
      </c>
      <c r="DB1" s="116" t="s">
        <v>146</v>
      </c>
      <c r="DC1" s="116" t="s">
        <v>147</v>
      </c>
    </row>
    <row r="2" spans="1:107" s="2" customFormat="1" ht="16.5" customHeight="1">
      <c r="A2" s="168" t="s">
        <v>68</v>
      </c>
      <c r="B2" s="169">
        <v>31</v>
      </c>
      <c r="C2" s="172">
        <f>24/PI()*ACOS(-TAN(RADIANS(輸入!$B$5))*TAN(RADIANS(23.45*SIN(RADIANS(360*(284+15)/365)))))</f>
        <v>8.8537821615987085</v>
      </c>
      <c r="D2" s="172">
        <f t="shared" ref="D2:D13" si="0">24-C2</f>
        <v>15.146217838401292</v>
      </c>
      <c r="E2" s="172">
        <f>INDEX(氣象查表!$C$2:$N$21,MATCH(輸入!$B$2,氣象查表!$B$2:$B$21,0),1)+INDEX(氣象查表!$O$2:$O$21,MATCH(輸入!$B$2,氣象查表!$B$2:$B$21,0))</f>
        <v>-14.3</v>
      </c>
      <c r="F2" s="172">
        <f>INDEX(氣象查表!$C$2:$N$21,MATCH(輸入!$B$2,氣象查表!$B$2:$B$21,0),1)+INDEX(氣象查表!$P$2:$P$21,MATCH(輸入!$B$2,氣象查表!$B$2:$B$21,0))</f>
        <v>-23.8</v>
      </c>
      <c r="G2" s="22">
        <f>MAX(0,輸入!$B$3-E2)</f>
        <v>39.299999999999997</v>
      </c>
      <c r="H2" s="22">
        <f>MAX(0,輸入!$B$4-F2)</f>
        <v>43.8</v>
      </c>
      <c r="I2" s="21">
        <f>輸入!$B$17*G2*C2*B2/1000</f>
        <v>132027.52876350263</v>
      </c>
      <c r="J2" s="21">
        <f>輸入!$B$17*H2*D2*B2/1000</f>
        <v>251722.14327121078</v>
      </c>
      <c r="K2" s="23">
        <f>I2*輸入!$E$2</f>
        <v>6601.3764381751316</v>
      </c>
      <c r="L2" s="23">
        <f t="shared" ref="L2:L13" si="1">MAX(0,I2-K2)</f>
        <v>125426.15232532751</v>
      </c>
      <c r="M2" s="23">
        <f t="shared" ref="M2:M13" si="2">MAX(0,J2)</f>
        <v>251722.14327121078</v>
      </c>
      <c r="N2" s="23">
        <f>L2*輸入!$E$3</f>
        <v>71672.08704304423</v>
      </c>
      <c r="O2" s="23">
        <f>L2*輸入!$E$4</f>
        <v>47482.7576660169</v>
      </c>
      <c r="P2" s="23">
        <f>M2*輸入!$E$12</f>
        <v>151411.81550148004</v>
      </c>
      <c r="Q2" s="23">
        <f>M2*輸入!$E$13</f>
        <v>100310.32776973073</v>
      </c>
      <c r="R2" s="24">
        <f>輸入!$T$5</f>
        <v>3.8</v>
      </c>
      <c r="S2" s="24">
        <f>MAX(R2*輸入!$E$17,MIN(R2*輸入!$E$16,R2+輸入!$E$15*(E2-輸入!$E$14)))</f>
        <v>2.2799999999999998</v>
      </c>
      <c r="T2" s="24">
        <f>MAX(R2*輸入!$E$17,MIN(R2*輸入!$E$16,R2+輸入!$E$15*(F2-輸入!$E$14)))</f>
        <v>2.2799999999999998</v>
      </c>
      <c r="U2" s="23">
        <f t="shared" ref="U2:U13" si="3">IFERROR(N2/S2,0)+IFERROR(P2/T2,0)</f>
        <v>97843.816905493106</v>
      </c>
      <c r="V2" s="23">
        <f>IFERROR((O2+Q2)/輸入!$S$5,0)</f>
        <v>164214.53937305292</v>
      </c>
      <c r="W2" s="23">
        <f>IFERROR(N2/S2,0)*輸入!$E$5+IFERROR(P2/T2,0)*輸入!$E$6</f>
        <v>276044.66815980477</v>
      </c>
      <c r="X2" s="23">
        <f>V2*輸入!$E$8</f>
        <v>264329.23842744989</v>
      </c>
      <c r="Y2" s="23">
        <f t="shared" ref="Y2:Y13" si="4">W2+X2</f>
        <v>540373.90658725472</v>
      </c>
      <c r="Z2" s="159">
        <f>輸入!$S$3</f>
        <v>0.9</v>
      </c>
      <c r="AA2" s="160">
        <f t="shared" ref="AA2:AA8" si="5">IFERROR((L2+M2)/Z2,0)</f>
        <v>419053.66177393141</v>
      </c>
      <c r="AB2" s="160">
        <f>AA2*輸入!$E$8</f>
        <v>674533.05718137987</v>
      </c>
      <c r="AC2" s="160">
        <f>AA2*輸入!$E$9</f>
        <v>84648.839678334145</v>
      </c>
      <c r="AD2" s="160">
        <f t="shared" ref="AD2:AD13" si="6">AC2</f>
        <v>84648.839678334145</v>
      </c>
      <c r="AE2" s="25">
        <f>輸入!$T$4</f>
        <v>4.0142857142857142</v>
      </c>
      <c r="AF2" s="25">
        <f>MAX(AE2*輸入!$E$17,MIN(AE2*輸入!$E$16,AE2+輸入!$E$15*(E2-輸入!$E$14)))</f>
        <v>2.4085714285714284</v>
      </c>
      <c r="AG2" s="25">
        <f>MAX(AE2*輸入!$E$17,MIN(AE2*輸入!$E$16,AE2+輸入!$E$15*(F2-輸入!$E$14)))</f>
        <v>2.4085714285714284</v>
      </c>
      <c r="AH2" s="26">
        <f t="shared" ref="AH2:AH8" si="7">IFERROR(L2/AF2,0)+IFERROR(M2/AG2,0)</f>
        <v>156585.88785146904</v>
      </c>
      <c r="AI2" s="26">
        <f>IFERROR(L2/AF2,0)*輸入!$E$5+IFERROR(M2/AG2,0)*輸入!$E$6</f>
        <v>443539.63459173864</v>
      </c>
      <c r="AJ2" s="26">
        <f>AH2*輸入!$B$6</f>
        <v>101780.82710345488</v>
      </c>
      <c r="AK2" s="26">
        <f t="shared" ref="AK2:AK13" si="8">AJ2</f>
        <v>101780.82710345488</v>
      </c>
      <c r="AL2" s="27">
        <f>輸入!$T$5</f>
        <v>3.8</v>
      </c>
      <c r="AM2" s="27">
        <f t="shared" ref="AM2:AM13" si="9">S2</f>
        <v>2.2799999999999998</v>
      </c>
      <c r="AN2" s="27">
        <f t="shared" ref="AN2:AN13" si="10">T2</f>
        <v>2.2799999999999998</v>
      </c>
      <c r="AO2" s="28">
        <f t="shared" ref="AO2:AO13" si="11">U2</f>
        <v>97843.816905493106</v>
      </c>
      <c r="AP2" s="28">
        <f>AO2*輸入!$B$6</f>
        <v>63598.480988570518</v>
      </c>
      <c r="AQ2" s="28">
        <f>V2*輸入!$E$9</f>
        <v>33171.336953356695</v>
      </c>
      <c r="AR2" s="28">
        <f t="shared" ref="AR2:AR13" si="12">AP2+AQ2</f>
        <v>96769.817941927206</v>
      </c>
      <c r="AS2" s="29">
        <f t="shared" ref="AS2:AS13" si="13">L2*$DA$2</f>
        <v>117900.58318580793</v>
      </c>
      <c r="AT2" s="166">
        <f>AS2/(AS2+AU2)</f>
        <v>0.98947368421052695</v>
      </c>
      <c r="AU2" s="29">
        <f t="shared" ref="AU2:AU13" si="14">L2*$DB$2</f>
        <v>1254.2615232531925</v>
      </c>
      <c r="AV2" s="166">
        <f>AU2/(AS2+AU2)</f>
        <v>1.0526315789472992E-2</v>
      </c>
      <c r="AW2" s="29">
        <f t="shared" ref="AW2:AW13" si="15">M2*IF($DA$2+$DB$2=0,0,$DA$2/($DA$2+$DB$2))</f>
        <v>249072.43649993505</v>
      </c>
      <c r="AX2" s="166">
        <f>AW2/(AW2+AY2)</f>
        <v>0.98947368421052706</v>
      </c>
      <c r="AY2" s="29">
        <f t="shared" ref="AY2:AY13" si="16">M2*IF($DA$2+$DB$2=0,0,$DB$2/($DA$2+$DB$2))</f>
        <v>2649.7067712757289</v>
      </c>
      <c r="AZ2" s="166">
        <f>AY2/(AW2+AY2)</f>
        <v>1.0526315789472994E-2</v>
      </c>
      <c r="BA2" s="30">
        <f>輸入!$T$6</f>
        <v>4</v>
      </c>
      <c r="BB2" s="30">
        <f>MAX(BA2*輸入!$E$17,MIN(BA2*輸入!$E$16,BA2+輸入!$E$15*(E2-輸入!$E$14)))</f>
        <v>2.4</v>
      </c>
      <c r="BC2" s="30">
        <f>MAX(BA2*輸入!$E$17,MIN(BA2*輸入!$E$16,BA2+輸入!$E$15*(F2-輸入!$E$14)))</f>
        <v>2.4</v>
      </c>
      <c r="BD2" s="29">
        <f t="shared" ref="BD2:BD13" si="17">IFERROR(AS2/BB2,0)+IFERROR(AW2/BC2,0)</f>
        <v>152905.42486905959</v>
      </c>
      <c r="BE2" s="112">
        <f>IFERROR((AU2+AY2)/輸入!$S$6,0)</f>
        <v>4436.327607419229</v>
      </c>
      <c r="BF2" s="112">
        <f>IFERROR(AS2/BB2,0)*輸入!$E$5+IFERROR(AW2/BC2,0)*輸入!$E$6</f>
        <v>431388.8051667356</v>
      </c>
      <c r="BG2" s="112">
        <f>BE2*輸入!$E$8</f>
        <v>7140.9699918217111</v>
      </c>
      <c r="BH2" s="112">
        <f t="shared" ref="BH2:BH13" si="18">BF2+BG2</f>
        <v>438529.77515855734</v>
      </c>
      <c r="BI2" s="112">
        <f>BD2*輸入!$B$6</f>
        <v>99388.526164888739</v>
      </c>
      <c r="BJ2" s="112">
        <f>BE2*輸入!$E$9</f>
        <v>896.13817669868433</v>
      </c>
      <c r="BK2" s="112">
        <f t="shared" ref="BK2:BK13" si="19">BI2+BJ2</f>
        <v>100284.66434158743</v>
      </c>
      <c r="BL2" s="31"/>
      <c r="BM2" s="32"/>
      <c r="BN2" s="32"/>
      <c r="BO2" s="31"/>
      <c r="BP2" s="31"/>
      <c r="BQ2" s="31"/>
      <c r="BR2" s="33"/>
      <c r="BS2" s="34"/>
      <c r="BT2" s="34"/>
      <c r="BU2" s="34"/>
      <c r="BV2" s="34"/>
      <c r="BW2" s="35"/>
      <c r="BX2" s="35"/>
      <c r="BY2" s="35"/>
      <c r="BZ2" s="35"/>
      <c r="CA2" s="35"/>
      <c r="CB2" s="36"/>
      <c r="CC2" s="36"/>
      <c r="CD2" s="37"/>
      <c r="CE2" s="37"/>
      <c r="CF2" s="37"/>
      <c r="CG2" s="37"/>
      <c r="CH2" s="37"/>
      <c r="CI2" s="37"/>
      <c r="CJ2" s="37"/>
      <c r="CK2" s="37"/>
      <c r="CL2" s="38">
        <v>0</v>
      </c>
      <c r="CM2" s="38">
        <f>IF(CL2=0,-$BH$4,IF(CL2&lt;=輸入!$E$19,$BH$2,""))</f>
        <v>-243619.18231509626</v>
      </c>
      <c r="CN2" s="36">
        <f>IF(CL2=0,-$BI$4,IF(CL2&lt;=輸入!$E$19,$BI$2,""))</f>
        <v>-54490.078201856049</v>
      </c>
      <c r="CO2" s="36">
        <f>IF(CL2=0,-$BJ$4,IF(CL2&lt;=輸入!$E$19,$BJ$2,""))</f>
        <v>-579.44323602892666</v>
      </c>
      <c r="CP2" s="36">
        <f>IF(CL2=0,-$BK$4,IF(CL2&lt;=輸入!$E$19,$BK$2,""))</f>
        <v>-55069.521437884978</v>
      </c>
      <c r="CX2" s="39">
        <v>0</v>
      </c>
      <c r="CY2" s="39">
        <f>1-輸入!$E$2-CX2</f>
        <v>0.95</v>
      </c>
      <c r="CZ2" s="40">
        <f>IF(OR(CX2&lt;0,CY2&lt;0,CX2&gt;1-輸入!$E$2),"",IF(1-輸入!$E$2=0,0,SUMPRODUCT($L$2:$L$13*CX2/$BB$2:$BB$13)*輸入!$E$5+SUMPRODUCT($M$2:$M$13*CX2/(1-輸入!$E$2)/$BC$2:$BC$13)*輸入!$E$6+SUMPRODUCT((($L$2:$L$13*CY2)+($M$2:$M$13*CY2/(1-輸入!$E$2)))/輸入!$S$6)*輸入!$E$8))</f>
        <v>3627316.6401734254</v>
      </c>
      <c r="DA2" s="39">
        <f>IFERROR(INDEX($CX$2:$CX$102,MATCH(MIN($CZ$2:$CZ$102),$CZ$2:$CZ$102,0)),"")</f>
        <v>0.94000000000000061</v>
      </c>
      <c r="DB2" s="39">
        <f>IF(DA2="","",1-輸入!$E$2-DA2)</f>
        <v>9.9999999999993427E-3</v>
      </c>
      <c r="DC2" s="40">
        <f>MIN($CZ$2:$CZ$102)</f>
        <v>2040086.2237320112</v>
      </c>
    </row>
    <row r="3" spans="1:107" s="2" customFormat="1" ht="16.5" customHeight="1">
      <c r="A3" s="170" t="s">
        <v>69</v>
      </c>
      <c r="B3" s="171">
        <v>28</v>
      </c>
      <c r="C3" s="173">
        <f>24/PI()*ACOS(-TAN(RADIANS(輸入!$B$5))*TAN(RADIANS(23.45*SIN(RADIANS(360*(284+45)/365)))))</f>
        <v>10.076347370518198</v>
      </c>
      <c r="D3" s="173">
        <f t="shared" si="0"/>
        <v>13.923652629481802</v>
      </c>
      <c r="E3" s="173">
        <f>INDEX(氣象查表!$C$2:$N$21,MATCH(輸入!$B$2,氣象查表!$B$2:$B$21,0),2)+INDEX(氣象查表!$O$2:$O$21,MATCH(輸入!$B$2,氣象查表!$B$2:$B$21,0))</f>
        <v>-9</v>
      </c>
      <c r="F3" s="173">
        <f>INDEX(氣象查表!$C$2:$N$21,MATCH(輸入!$B$2,氣象查表!$B$2:$B$21,0),2)+INDEX(氣象查表!$P$2:$P$21,MATCH(輸入!$B$2,氣象查表!$B$2:$B$21,0))</f>
        <v>-18.5</v>
      </c>
      <c r="G3" s="42">
        <f>MAX(0,輸入!$B$3-E3)</f>
        <v>34</v>
      </c>
      <c r="H3" s="42">
        <f>MAX(0,輸入!$B$4-F3)</f>
        <v>38.5</v>
      </c>
      <c r="I3" s="41">
        <f>輸入!$B$17*G3*C3*B3/1000</f>
        <v>117414.43620801589</v>
      </c>
      <c r="J3" s="41">
        <f>輸入!$B$17*H3*D3*B3/1000</f>
        <v>183718.69782327613</v>
      </c>
      <c r="K3" s="43">
        <f>I3*輸入!$E$2</f>
        <v>5870.7218104007952</v>
      </c>
      <c r="L3" s="43">
        <f t="shared" si="1"/>
        <v>111543.7143976151</v>
      </c>
      <c r="M3" s="43">
        <f t="shared" si="2"/>
        <v>183718.69782327613</v>
      </c>
      <c r="N3" s="43">
        <f>L3*輸入!$E$3</f>
        <v>63739.265370065717</v>
      </c>
      <c r="O3" s="43">
        <f>L3*輸入!$E$4</f>
        <v>42227.263307668618</v>
      </c>
      <c r="P3" s="43">
        <f>M3*輸入!$E$12</f>
        <v>110507.48741249683</v>
      </c>
      <c r="Q3" s="43">
        <f>M3*輸入!$E$13</f>
        <v>73211.210410779298</v>
      </c>
      <c r="R3" s="44">
        <f>輸入!$T$5</f>
        <v>3.8</v>
      </c>
      <c r="S3" s="44">
        <f>MAX(R3*輸入!$E$17,MIN(R3*輸入!$E$16,R3+輸入!$E$15*(E3-輸入!$E$14)))</f>
        <v>2.4</v>
      </c>
      <c r="T3" s="44">
        <f>MAX(R3*輸入!$E$17,MIN(R3*輸入!$E$16,R3+輸入!$E$15*(F3-輸入!$E$14)))</f>
        <v>2.2799999999999998</v>
      </c>
      <c r="U3" s="43">
        <f t="shared" si="3"/>
        <v>75026.223471078629</v>
      </c>
      <c r="V3" s="43">
        <f>IFERROR((O3+Q3)/輸入!$S$5,0)</f>
        <v>128264.97079827546</v>
      </c>
      <c r="W3" s="43">
        <f>IFERROR(N3/S3,0)*輸入!$E$5+IFERROR(P3/T3,0)*輸入!$E$6</f>
        <v>214123.58591522393</v>
      </c>
      <c r="X3" s="43">
        <f>V3*輸入!$E$8</f>
        <v>206462.72965517218</v>
      </c>
      <c r="Y3" s="43">
        <f t="shared" si="4"/>
        <v>420586.31557039614</v>
      </c>
      <c r="Z3" s="161">
        <f>輸入!$S$3</f>
        <v>0.9</v>
      </c>
      <c r="AA3" s="162">
        <f t="shared" si="5"/>
        <v>328069.34691210132</v>
      </c>
      <c r="AB3" s="162">
        <f>AA3*輸入!$E$8</f>
        <v>528079.43164925871</v>
      </c>
      <c r="AC3" s="162">
        <f>AA3*輸入!$E$9</f>
        <v>66270.00807624447</v>
      </c>
      <c r="AD3" s="162">
        <f t="shared" si="6"/>
        <v>66270.00807624447</v>
      </c>
      <c r="AE3" s="45">
        <f>輸入!$T$4</f>
        <v>4.0142857142857142</v>
      </c>
      <c r="AF3" s="45">
        <f>MAX(AE3*輸入!$E$17,MIN(AE3*輸入!$E$16,AE3+輸入!$E$15*(E3-輸入!$E$14)))</f>
        <v>2.6142857142857143</v>
      </c>
      <c r="AG3" s="45">
        <f>MAX(AE3*輸入!$E$17,MIN(AE3*輸入!$E$16,AE3+輸入!$E$15*(F3-輸入!$E$14)))</f>
        <v>2.4085714285714284</v>
      </c>
      <c r="AH3" s="46">
        <f t="shared" si="7"/>
        <v>118944.03400672918</v>
      </c>
      <c r="AI3" s="46">
        <f>IFERROR(L3/AF3,0)*輸入!$E$5+IFERROR(M3/AG3,0)*輸入!$E$6</f>
        <v>340027.07959514565</v>
      </c>
      <c r="AJ3" s="46">
        <f>AH3*輸入!$B$6</f>
        <v>77313.622104373979</v>
      </c>
      <c r="AK3" s="46">
        <f t="shared" si="8"/>
        <v>77313.622104373979</v>
      </c>
      <c r="AL3" s="47">
        <f>輸入!$T$5</f>
        <v>3.8</v>
      </c>
      <c r="AM3" s="47">
        <f t="shared" si="9"/>
        <v>2.4</v>
      </c>
      <c r="AN3" s="47">
        <f t="shared" si="10"/>
        <v>2.2799999999999998</v>
      </c>
      <c r="AO3" s="48">
        <f t="shared" si="11"/>
        <v>75026.223471078629</v>
      </c>
      <c r="AP3" s="48">
        <f>AO3*輸入!$B$6</f>
        <v>48767.045256201112</v>
      </c>
      <c r="AQ3" s="48">
        <f>V3*輸入!$E$9</f>
        <v>25909.524101251645</v>
      </c>
      <c r="AR3" s="48">
        <f t="shared" si="12"/>
        <v>74676.569357452754</v>
      </c>
      <c r="AS3" s="49">
        <f t="shared" si="13"/>
        <v>104851.09153375826</v>
      </c>
      <c r="AT3" s="166">
        <f t="shared" ref="AT3:AT13" si="20">AS3/(AS3+AU3)</f>
        <v>0.98947368421052706</v>
      </c>
      <c r="AU3" s="49">
        <f t="shared" si="14"/>
        <v>1115.4371439760778</v>
      </c>
      <c r="AV3" s="166">
        <f t="shared" ref="AV3:AV13" si="21">AU3/(AS3+AU3)</f>
        <v>1.0526315789472995E-2</v>
      </c>
      <c r="AW3" s="49">
        <f t="shared" si="15"/>
        <v>181784.81679355758</v>
      </c>
      <c r="AX3" s="166">
        <f t="shared" ref="AX3:AX13" si="22">AW3/(AW3+AY3)</f>
        <v>0.98947368421052706</v>
      </c>
      <c r="AY3" s="49">
        <f t="shared" si="16"/>
        <v>1933.8810297185692</v>
      </c>
      <c r="AZ3" s="166">
        <f t="shared" ref="AZ3:AZ13" si="23">AY3/(AW3+AY3)</f>
        <v>1.0526315789472994E-2</v>
      </c>
      <c r="BA3" s="50">
        <f>輸入!$T$6</f>
        <v>4</v>
      </c>
      <c r="BB3" s="50">
        <f>MAX(BA3*輸入!$E$17,MIN(BA3*輸入!$E$16,BA3+輸入!$E$15*(E3-輸入!$E$14)))</f>
        <v>2.6</v>
      </c>
      <c r="BC3" s="50">
        <f>MAX(BA3*輸入!$E$17,MIN(BA3*輸入!$E$16,BA3+輸入!$E$15*(F3-輸入!$E$14)))</f>
        <v>2.4</v>
      </c>
      <c r="BD3" s="49">
        <f t="shared" si="17"/>
        <v>116071.01656158165</v>
      </c>
      <c r="BE3" s="29">
        <f>IFERROR((AU3+AY3)/輸入!$S$6,0)</f>
        <v>3465.1342882893719</v>
      </c>
      <c r="BF3" s="29">
        <f>IFERROR(AS3/BB3,0)*輸入!$E$5+IFERROR(AW3/BC3,0)*輸入!$E$6</f>
        <v>330504.88430155348</v>
      </c>
      <c r="BG3" s="29">
        <f>BE3*輸入!$E$8</f>
        <v>5577.6809469446744</v>
      </c>
      <c r="BH3" s="29">
        <f t="shared" si="18"/>
        <v>336082.56524849817</v>
      </c>
      <c r="BI3" s="29">
        <f>BD3*輸入!$B$6</f>
        <v>75446.160765028078</v>
      </c>
      <c r="BJ3" s="29">
        <f>BE3*輸入!$E$9</f>
        <v>699.9571262344532</v>
      </c>
      <c r="BK3" s="29">
        <f t="shared" si="19"/>
        <v>76146.117891262533</v>
      </c>
      <c r="BL3" s="51"/>
      <c r="BM3" s="52"/>
      <c r="BN3" s="52"/>
      <c r="BO3" s="53"/>
      <c r="BP3" s="53"/>
      <c r="BQ3" s="53"/>
      <c r="BR3" s="33"/>
      <c r="BS3" s="54"/>
      <c r="BT3" s="54"/>
      <c r="BU3" s="54"/>
      <c r="BV3" s="54"/>
      <c r="BW3" s="55"/>
      <c r="BX3" s="55"/>
      <c r="BY3" s="55"/>
      <c r="BZ3" s="55"/>
      <c r="CA3" s="55"/>
      <c r="CB3" s="56"/>
      <c r="CC3" s="56"/>
      <c r="CD3" s="57"/>
      <c r="CE3" s="57"/>
      <c r="CF3" s="57"/>
      <c r="CG3" s="57"/>
      <c r="CH3" s="57"/>
      <c r="CI3" s="57"/>
      <c r="CJ3" s="57"/>
      <c r="CK3" s="57"/>
      <c r="CL3" s="58">
        <v>1</v>
      </c>
      <c r="CM3" s="58">
        <f>IF(CL3=0,-$BH$4,IF(CL3&lt;=輸入!$E$19,$BH$2,""))</f>
        <v>438529.77515855734</v>
      </c>
      <c r="CN3" s="56">
        <f>IF(CL3=0,-$BI$4,IF(CL3&lt;=輸入!$E$19,$BI$2,""))</f>
        <v>99388.526164888739</v>
      </c>
      <c r="CO3" s="56">
        <f>IF(CL3=0,-$BJ$4,IF(CL3&lt;=輸入!$E$19,$BJ$2,""))</f>
        <v>896.13817669868433</v>
      </c>
      <c r="CP3" s="56">
        <f>IF(CL3=0,-$BK$4,IF(CL3&lt;=輸入!$E$19,$BK$2,""))</f>
        <v>100284.66434158743</v>
      </c>
      <c r="CX3" s="39">
        <f t="shared" ref="CX3:CX34" si="24">CX2+0.01</f>
        <v>0.01</v>
      </c>
      <c r="CY3" s="39">
        <f>1-輸入!$E$2-CX3</f>
        <v>0.94</v>
      </c>
      <c r="CZ3" s="40">
        <f>IF(OR(CX3&lt;0,CY3&lt;0,CX3&gt;1-輸入!$E$2),"",IF(1-輸入!$E$2=0,0,SUMPRODUCT($L$2:$L$13*CX3/$BB$2:$BB$13)*輸入!$E$5+SUMPRODUCT($M$2:$M$13*CX3/(1-輸入!$E$2)/$BC$2:$BC$13)*輸入!$E$6+SUMPRODUCT((($L$2:$L$13*CY3)+($M$2:$M$13*CY3/(1-輸入!$E$2)))/輸入!$S$6)*輸入!$E$8))</f>
        <v>3610431.2102112835</v>
      </c>
    </row>
    <row r="4" spans="1:107" s="2" customFormat="1" ht="16.5" customHeight="1">
      <c r="A4" s="170" t="s">
        <v>70</v>
      </c>
      <c r="B4" s="171">
        <v>31</v>
      </c>
      <c r="C4" s="173">
        <f>24/PI()*ACOS(-TAN(RADIANS(輸入!$B$5))*TAN(RADIANS(23.45*SIN(RADIANS(360*(284+74)/365)))))</f>
        <v>11.613026853675777</v>
      </c>
      <c r="D4" s="173">
        <f t="shared" si="0"/>
        <v>12.386973146324223</v>
      </c>
      <c r="E4" s="173">
        <f>INDEX(氣象查表!$C$2:$N$21,MATCH(輸入!$B$2,氣象查表!$B$2:$B$21,0),3)+INDEX(氣象查表!$O$2:$O$21,MATCH(輸入!$B$2,氣象查表!$B$2:$B$21,0))</f>
        <v>-0.20000000000000018</v>
      </c>
      <c r="F4" s="173">
        <f>INDEX(氣象查表!$C$2:$N$21,MATCH(輸入!$B$2,氣象查表!$B$2:$B$21,0),3)+INDEX(氣象查表!$P$2:$P$21,MATCH(輸入!$B$2,氣象查表!$B$2:$B$21,0))</f>
        <v>-9.6999999999999993</v>
      </c>
      <c r="G4" s="42">
        <f>MAX(0,輸入!$B$3-E4)</f>
        <v>25.2</v>
      </c>
      <c r="H4" s="42">
        <f>MAX(0,輸入!$B$4-F4)</f>
        <v>29.7</v>
      </c>
      <c r="I4" s="41">
        <f>輸入!$B$17*G4*C4*B4/1000</f>
        <v>111042.46211584017</v>
      </c>
      <c r="J4" s="41">
        <f>輸入!$B$17*H4*D4*B4/1000</f>
        <v>139593.35879204553</v>
      </c>
      <c r="K4" s="43">
        <f>I4*輸入!$E$2</f>
        <v>5552.1231057920086</v>
      </c>
      <c r="L4" s="43">
        <f t="shared" si="1"/>
        <v>105490.33901004816</v>
      </c>
      <c r="M4" s="43">
        <f t="shared" si="2"/>
        <v>139593.35879204553</v>
      </c>
      <c r="N4" s="43">
        <f>L4*輸入!$E$3</f>
        <v>60280.19372002747</v>
      </c>
      <c r="O4" s="43">
        <f>L4*輸入!$E$4</f>
        <v>39935.628339518276</v>
      </c>
      <c r="P4" s="43">
        <f>M4*輸入!$E$12</f>
        <v>83965.93010047845</v>
      </c>
      <c r="Q4" s="43">
        <f>M4*輸入!$E$13</f>
        <v>55627.428691567082</v>
      </c>
      <c r="R4" s="44">
        <f>輸入!$T$5</f>
        <v>3.8</v>
      </c>
      <c r="S4" s="44">
        <f>MAX(R4*輸入!$E$17,MIN(R4*輸入!$E$16,R4+輸入!$E$15*(E4-輸入!$E$14)))</f>
        <v>3.17</v>
      </c>
      <c r="T4" s="44">
        <f>MAX(R4*輸入!$E$17,MIN(R4*輸入!$E$16,R4+輸入!$E$15*(F4-輸入!$E$14)))</f>
        <v>2.3387500000000001</v>
      </c>
      <c r="U4" s="43">
        <f t="shared" si="3"/>
        <v>54917.888540345128</v>
      </c>
      <c r="V4" s="43">
        <f>IFERROR((O4+Q4)/輸入!$S$5,0)</f>
        <v>106181.17447898374</v>
      </c>
      <c r="W4" s="43">
        <f>IFERROR(N4/S4,0)*輸入!$E$5+IFERROR(P4/T4,0)*輸入!$E$6</f>
        <v>156310.55533194402</v>
      </c>
      <c r="X4" s="43">
        <f>V4*輸入!$E$8</f>
        <v>170915.37139474278</v>
      </c>
      <c r="Y4" s="43">
        <f t="shared" si="4"/>
        <v>327225.92672668677</v>
      </c>
      <c r="Z4" s="161">
        <f>輸入!$S$3</f>
        <v>0.9</v>
      </c>
      <c r="AA4" s="162">
        <f t="shared" si="5"/>
        <v>272315.21978010412</v>
      </c>
      <c r="AB4" s="162">
        <f>AA4*輸入!$E$8</f>
        <v>438334.3577949371</v>
      </c>
      <c r="AC4" s="162">
        <f>AA4*輸入!$E$9</f>
        <v>55007.674395581038</v>
      </c>
      <c r="AD4" s="162">
        <f t="shared" si="6"/>
        <v>55007.674395581038</v>
      </c>
      <c r="AE4" s="45">
        <f>輸入!$T$4</f>
        <v>4.0142857142857142</v>
      </c>
      <c r="AF4" s="45">
        <f>MAX(AE4*輸入!$E$17,MIN(AE4*輸入!$E$16,AE4+輸入!$E$15*(E4-輸入!$E$14)))</f>
        <v>3.3842857142857143</v>
      </c>
      <c r="AG4" s="45">
        <f>MAX(AE4*輸入!$E$17,MIN(AE4*輸入!$E$16,AE4+輸入!$E$15*(F4-輸入!$E$14)))</f>
        <v>2.5530357142857145</v>
      </c>
      <c r="AH4" s="46">
        <f t="shared" si="7"/>
        <v>85848.037762291788</v>
      </c>
      <c r="AI4" s="46">
        <f>IFERROR(L4/AF4,0)*輸入!$E$5+IFERROR(M4/AG4,0)*輸入!$E$6</f>
        <v>245790.73066872387</v>
      </c>
      <c r="AJ4" s="46">
        <f>AH4*輸入!$B$6</f>
        <v>55801.224545489662</v>
      </c>
      <c r="AK4" s="46">
        <f t="shared" si="8"/>
        <v>55801.224545489662</v>
      </c>
      <c r="AL4" s="47">
        <f>輸入!$T$5</f>
        <v>3.8</v>
      </c>
      <c r="AM4" s="47">
        <f t="shared" si="9"/>
        <v>3.17</v>
      </c>
      <c r="AN4" s="47">
        <f t="shared" si="10"/>
        <v>2.3387500000000001</v>
      </c>
      <c r="AO4" s="48">
        <f t="shared" si="11"/>
        <v>54917.888540345128</v>
      </c>
      <c r="AP4" s="48">
        <f>AO4*輸入!$B$6</f>
        <v>35696.627551224337</v>
      </c>
      <c r="AQ4" s="48">
        <f>V4*輸入!$E$9</f>
        <v>21448.597244754717</v>
      </c>
      <c r="AR4" s="48">
        <f t="shared" si="12"/>
        <v>57145.224795979055</v>
      </c>
      <c r="AS4" s="49">
        <f t="shared" si="13"/>
        <v>99160.918669445338</v>
      </c>
      <c r="AT4" s="166">
        <f t="shared" si="20"/>
        <v>0.98947368421052695</v>
      </c>
      <c r="AU4" s="49">
        <f t="shared" si="14"/>
        <v>1054.9033901004123</v>
      </c>
      <c r="AV4" s="166">
        <f t="shared" si="21"/>
        <v>1.0526315789472992E-2</v>
      </c>
      <c r="AW4" s="49">
        <f t="shared" si="15"/>
        <v>138123.95501528727</v>
      </c>
      <c r="AX4" s="166">
        <f t="shared" si="22"/>
        <v>0.98947368421052695</v>
      </c>
      <c r="AY4" s="49">
        <f t="shared" si="16"/>
        <v>1469.4037767582777</v>
      </c>
      <c r="AZ4" s="166">
        <f t="shared" si="23"/>
        <v>1.0526315789472992E-2</v>
      </c>
      <c r="BA4" s="50">
        <f>輸入!$T$6</f>
        <v>4</v>
      </c>
      <c r="BB4" s="50">
        <f>MAX(BA4*輸入!$E$17,MIN(BA4*輸入!$E$16,BA4+輸入!$E$15*(E4-輸入!$E$14)))</f>
        <v>3.37</v>
      </c>
      <c r="BC4" s="50">
        <f>MAX(BA4*輸入!$E$17,MIN(BA4*輸入!$E$16,BA4+輸入!$E$15*(F4-輸入!$E$14)))</f>
        <v>2.5387500000000003</v>
      </c>
      <c r="BD4" s="49">
        <f t="shared" si="17"/>
        <v>83830.889541316996</v>
      </c>
      <c r="BE4" s="29">
        <f>IFERROR((AU4+AY4)/輸入!$S$6,0)</f>
        <v>2868.5308714303296</v>
      </c>
      <c r="BF4" s="29">
        <f>IFERROR(AS4/BB4,0)*輸入!$E$5+IFERROR(AW4/BC4,0)*輸入!$E$6</f>
        <v>239001.82879971544</v>
      </c>
      <c r="BG4" s="29">
        <f>BE4*輸入!$E$8</f>
        <v>4617.3535153808216</v>
      </c>
      <c r="BH4" s="29">
        <f t="shared" si="18"/>
        <v>243619.18231509626</v>
      </c>
      <c r="BI4" s="29">
        <f>BD4*輸入!$B$6</f>
        <v>54490.078201856049</v>
      </c>
      <c r="BJ4" s="29">
        <f>BE4*輸入!$E$9</f>
        <v>579.44323602892666</v>
      </c>
      <c r="BK4" s="29">
        <f t="shared" si="19"/>
        <v>55069.521437884978</v>
      </c>
      <c r="BL4" s="51"/>
      <c r="BM4" s="52"/>
      <c r="BN4" s="52"/>
      <c r="BO4" s="53"/>
      <c r="BP4" s="53"/>
      <c r="BQ4" s="53"/>
      <c r="BR4" s="33"/>
      <c r="BS4" s="54"/>
      <c r="BT4" s="54"/>
      <c r="BU4" s="54"/>
      <c r="BV4" s="54"/>
      <c r="BW4" s="55"/>
      <c r="BX4" s="55"/>
      <c r="BY4" s="55"/>
      <c r="BZ4" s="55"/>
      <c r="CA4" s="55"/>
      <c r="CB4" s="56"/>
      <c r="CC4" s="56"/>
      <c r="CD4" s="57"/>
      <c r="CE4" s="57"/>
      <c r="CF4" s="57"/>
      <c r="CG4" s="57"/>
      <c r="CH4" s="57"/>
      <c r="CI4" s="57"/>
      <c r="CJ4" s="57"/>
      <c r="CK4" s="57"/>
      <c r="CL4" s="58">
        <v>2</v>
      </c>
      <c r="CM4" s="58">
        <f>IF(CL4=0,-$BH$4,IF(CL4&lt;=輸入!$E$19,$BH$2,""))</f>
        <v>438529.77515855734</v>
      </c>
      <c r="CN4" s="56">
        <f>IF(CL4=0,-$BI$4,IF(CL4&lt;=輸入!$E$19,$BI$2,""))</f>
        <v>99388.526164888739</v>
      </c>
      <c r="CO4" s="56">
        <f>IF(CL4=0,-$BJ$4,IF(CL4&lt;=輸入!$E$19,$BJ$2,""))</f>
        <v>896.13817669868433</v>
      </c>
      <c r="CP4" s="56">
        <f>IF(CL4=0,-$BK$4,IF(CL4&lt;=輸入!$E$19,$BK$2,""))</f>
        <v>100284.66434158743</v>
      </c>
      <c r="CX4" s="39">
        <f t="shared" si="24"/>
        <v>0.02</v>
      </c>
      <c r="CY4" s="39">
        <f>1-輸入!$E$2-CX4</f>
        <v>0.92999999999999994</v>
      </c>
      <c r="CZ4" s="40">
        <f>IF(OR(CX4&lt;0,CY4&lt;0,CX4&gt;1-輸入!$E$2),"",IF(1-輸入!$E$2=0,0,SUMPRODUCT($L$2:$L$13*CX4/$BB$2:$BB$13)*輸入!$E$5+SUMPRODUCT($M$2:$M$13*CX4/(1-輸入!$E$2)/$BC$2:$BC$13)*輸入!$E$6+SUMPRODUCT((($L$2:$L$13*CY4)+($M$2:$M$13*CY4/(1-輸入!$E$2)))/輸入!$S$6)*輸入!$E$8))</f>
        <v>3593545.7802491402</v>
      </c>
    </row>
    <row r="5" spans="1:107" s="2" customFormat="1" ht="16.5" customHeight="1">
      <c r="A5" s="170" t="s">
        <v>71</v>
      </c>
      <c r="B5" s="171">
        <v>30</v>
      </c>
      <c r="C5" s="173">
        <f>24/PI()*ACOS(-TAN(RADIANS(輸入!$B$5))*TAN(RADIANS(23.45*SIN(RADIANS(360*(284+105)/365)))))</f>
        <v>13.30901447935452</v>
      </c>
      <c r="D5" s="173">
        <f t="shared" si="0"/>
        <v>10.69098552064548</v>
      </c>
      <c r="E5" s="173">
        <f>INDEX(氣象查表!$C$2:$N$21,MATCH(輸入!$B$2,氣象查表!$B$2:$B$21,0),4)+INDEX(氣象查表!$O$2:$O$21,MATCH(輸入!$B$2,氣象查表!$B$2:$B$21,0))</f>
        <v>10.199999999999999</v>
      </c>
      <c r="F5" s="173">
        <f>INDEX(氣象查表!$C$2:$N$21,MATCH(輸入!$B$2,氣象查表!$B$2:$B$21,0),4)+INDEX(氣象查表!$P$2:$P$21,MATCH(輸入!$B$2,氣象查表!$B$2:$B$21,0))</f>
        <v>0.70000000000000018</v>
      </c>
      <c r="G5" s="42">
        <f>MAX(0,輸入!$B$3-E5)</f>
        <v>14.8</v>
      </c>
      <c r="H5" s="42">
        <f>MAX(0,輸入!$B$4-F5)</f>
        <v>19.3</v>
      </c>
      <c r="I5" s="41">
        <f>輸入!$B$17*G5*C5*B5/1000</f>
        <v>72328.637728920905</v>
      </c>
      <c r="J5" s="41">
        <f>輸入!$B$17*H5*D5*B5/1000</f>
        <v>75766.586745393695</v>
      </c>
      <c r="K5" s="43">
        <f>I5*輸入!$E$2</f>
        <v>3616.4318864460456</v>
      </c>
      <c r="L5" s="43">
        <f t="shared" si="1"/>
        <v>68712.205842474854</v>
      </c>
      <c r="M5" s="43">
        <f t="shared" si="2"/>
        <v>75766.586745393695</v>
      </c>
      <c r="N5" s="43">
        <f>L5*輸入!$E$3</f>
        <v>39264.117624271312</v>
      </c>
      <c r="O5" s="43">
        <f>L5*輸入!$E$4</f>
        <v>26012.477926079795</v>
      </c>
      <c r="P5" s="43">
        <f>M5*輸入!$E$12</f>
        <v>45573.886764146548</v>
      </c>
      <c r="Q5" s="43">
        <f>M5*輸入!$E$13</f>
        <v>30192.699981247148</v>
      </c>
      <c r="R5" s="44">
        <f>輸入!$T$5</f>
        <v>3.8</v>
      </c>
      <c r="S5" s="44">
        <f>MAX(R5*輸入!$E$17,MIN(R5*輸入!$E$16,R5+輸入!$E$15*(E5-輸入!$E$14)))</f>
        <v>4.08</v>
      </c>
      <c r="T5" s="44">
        <f>MAX(R5*輸入!$E$17,MIN(R5*輸入!$E$16,R5+輸入!$E$15*(F5-輸入!$E$14)))</f>
        <v>3.2487499999999998</v>
      </c>
      <c r="U5" s="43">
        <f t="shared" si="3"/>
        <v>23651.688064758644</v>
      </c>
      <c r="V5" s="43">
        <f>IFERROR((O5+Q5)/輸入!$S$5,0)</f>
        <v>62450.197674807714</v>
      </c>
      <c r="W5" s="43">
        <f>IFERROR(N5/S5,0)*輸入!$E$5+IFERROR(P5/T5,0)*輸入!$E$6</f>
        <v>68752.778403139586</v>
      </c>
      <c r="X5" s="43">
        <f>V5*輸入!$E$8</f>
        <v>100523.45702182349</v>
      </c>
      <c r="Y5" s="43">
        <f t="shared" si="4"/>
        <v>169276.23542496306</v>
      </c>
      <c r="Z5" s="161">
        <f>輸入!$S$3</f>
        <v>0.9</v>
      </c>
      <c r="AA5" s="162">
        <f t="shared" si="5"/>
        <v>160531.99176429838</v>
      </c>
      <c r="AB5" s="162">
        <f>AA5*輸入!$E$8</f>
        <v>258401.59640128564</v>
      </c>
      <c r="AC5" s="162">
        <f>AA5*輸入!$E$9</f>
        <v>32427.462336388275</v>
      </c>
      <c r="AD5" s="162">
        <f t="shared" si="6"/>
        <v>32427.462336388275</v>
      </c>
      <c r="AE5" s="45">
        <f>輸入!$T$4</f>
        <v>4.0142857142857142</v>
      </c>
      <c r="AF5" s="45">
        <f>MAX(AE5*輸入!$E$17,MIN(AE5*輸入!$E$16,AE5+輸入!$E$15*(E5-輸入!$E$14)))</f>
        <v>4.2942857142857145</v>
      </c>
      <c r="AG5" s="45">
        <f>MAX(AE5*輸入!$E$17,MIN(AE5*輸入!$E$16,AE5+輸入!$E$15*(F5-輸入!$E$14)))</f>
        <v>3.4630357142857142</v>
      </c>
      <c r="AH5" s="46">
        <f t="shared" si="7"/>
        <v>37879.508007643417</v>
      </c>
      <c r="AI5" s="46">
        <f>IFERROR(L5/AF5,0)*輸入!$E$5+IFERROR(M5/AG5,0)*輸入!$E$6</f>
        <v>110699.61635634486</v>
      </c>
      <c r="AJ5" s="46">
        <f>AH5*輸入!$B$6</f>
        <v>24621.680204968223</v>
      </c>
      <c r="AK5" s="46">
        <f t="shared" si="8"/>
        <v>24621.680204968223</v>
      </c>
      <c r="AL5" s="47">
        <f>輸入!$T$5</f>
        <v>3.8</v>
      </c>
      <c r="AM5" s="47">
        <f t="shared" si="9"/>
        <v>4.08</v>
      </c>
      <c r="AN5" s="47">
        <f t="shared" si="10"/>
        <v>3.2487499999999998</v>
      </c>
      <c r="AO5" s="48">
        <f t="shared" si="11"/>
        <v>23651.688064758644</v>
      </c>
      <c r="AP5" s="48">
        <f>AO5*輸入!$B$6</f>
        <v>15373.597242093119</v>
      </c>
      <c r="AQ5" s="48">
        <f>V5*輸入!$E$9</f>
        <v>12614.939930311159</v>
      </c>
      <c r="AR5" s="48">
        <f t="shared" si="12"/>
        <v>27988.537172404278</v>
      </c>
      <c r="AS5" s="49">
        <f t="shared" si="13"/>
        <v>64589.473491926408</v>
      </c>
      <c r="AT5" s="166">
        <f t="shared" si="20"/>
        <v>0.98947368421052695</v>
      </c>
      <c r="AU5" s="49">
        <f t="shared" si="14"/>
        <v>687.12205842470337</v>
      </c>
      <c r="AV5" s="166">
        <f t="shared" si="21"/>
        <v>1.0526315789472992E-2</v>
      </c>
      <c r="AW5" s="49">
        <f t="shared" si="15"/>
        <v>74969.043727021184</v>
      </c>
      <c r="AX5" s="166">
        <f t="shared" si="22"/>
        <v>0.98947368421052706</v>
      </c>
      <c r="AY5" s="49">
        <f t="shared" si="16"/>
        <v>797.54301837251285</v>
      </c>
      <c r="AZ5" s="166">
        <f t="shared" si="23"/>
        <v>1.0526315789472994E-2</v>
      </c>
      <c r="BA5" s="50">
        <f>輸入!$T$6</f>
        <v>4</v>
      </c>
      <c r="BB5" s="50">
        <f>MAX(BA5*輸入!$E$17,MIN(BA5*輸入!$E$16,BA5+輸入!$E$15*(E5-輸入!$E$14)))</f>
        <v>4.28</v>
      </c>
      <c r="BC5" s="50">
        <f>MAX(BA5*輸入!$E$17,MIN(BA5*輸入!$E$16,BA5+輸入!$E$15*(F5-輸入!$E$14)))</f>
        <v>3.44875</v>
      </c>
      <c r="BD5" s="49">
        <f t="shared" si="17"/>
        <v>36829.032180624286</v>
      </c>
      <c r="BE5" s="29">
        <f>IFERROR((AU5+AY5)/輸入!$S$6,0)</f>
        <v>1687.1194054513821</v>
      </c>
      <c r="BF5" s="29">
        <f>IFERROR(AS5/BB5,0)*輸入!$E$5+IFERROR(AW5/BC5,0)*輸入!$E$6</f>
        <v>107163.57893098277</v>
      </c>
      <c r="BG5" s="29">
        <f>BE5*輸入!$E$8</f>
        <v>2715.6851596802985</v>
      </c>
      <c r="BH5" s="29">
        <f t="shared" si="18"/>
        <v>109879.26409066307</v>
      </c>
      <c r="BI5" s="29">
        <f>BD5*輸入!$B$6</f>
        <v>23938.870917405788</v>
      </c>
      <c r="BJ5" s="29">
        <f>BE5*輸入!$E$9</f>
        <v>340.79811990117923</v>
      </c>
      <c r="BK5" s="29">
        <f t="shared" si="19"/>
        <v>24279.669037306965</v>
      </c>
      <c r="BL5" s="51"/>
      <c r="BM5" s="52"/>
      <c r="BN5" s="52"/>
      <c r="BO5" s="53"/>
      <c r="BP5" s="53"/>
      <c r="BQ5" s="53"/>
      <c r="BR5" s="33"/>
      <c r="BS5" s="54"/>
      <c r="BT5" s="54"/>
      <c r="BU5" s="54"/>
      <c r="BV5" s="54"/>
      <c r="BW5" s="55"/>
      <c r="BX5" s="55"/>
      <c r="BY5" s="55"/>
      <c r="BZ5" s="55"/>
      <c r="CA5" s="55"/>
      <c r="CB5" s="56"/>
      <c r="CC5" s="56"/>
      <c r="CD5" s="57"/>
      <c r="CE5" s="57"/>
      <c r="CF5" s="57"/>
      <c r="CG5" s="57"/>
      <c r="CH5" s="57"/>
      <c r="CI5" s="57"/>
      <c r="CJ5" s="57"/>
      <c r="CK5" s="57"/>
      <c r="CL5" s="58">
        <v>3</v>
      </c>
      <c r="CM5" s="58">
        <f>IF(CL5=0,-$BH$4,IF(CL5&lt;=輸入!$E$19,$BH$2,""))</f>
        <v>438529.77515855734</v>
      </c>
      <c r="CN5" s="56">
        <f>IF(CL5=0,-$BI$4,IF(CL5&lt;=輸入!$E$19,$BI$2,""))</f>
        <v>99388.526164888739</v>
      </c>
      <c r="CO5" s="56">
        <f>IF(CL5=0,-$BJ$4,IF(CL5&lt;=輸入!$E$19,$BJ$2,""))</f>
        <v>896.13817669868433</v>
      </c>
      <c r="CP5" s="56">
        <f>IF(CL5=0,-$BK$4,IF(CL5&lt;=輸入!$E$19,$BK$2,""))</f>
        <v>100284.66434158743</v>
      </c>
      <c r="CX5" s="39">
        <f t="shared" si="24"/>
        <v>0.03</v>
      </c>
      <c r="CY5" s="39">
        <f>1-輸入!$E$2-CX5</f>
        <v>0.91999999999999993</v>
      </c>
      <c r="CZ5" s="40">
        <f>IF(OR(CX5&lt;0,CY5&lt;0,CX5&gt;1-輸入!$E$2),"",IF(1-輸入!$E$2=0,0,SUMPRODUCT($L$2:$L$13*CX5/$BB$2:$BB$13)*輸入!$E$5+SUMPRODUCT($M$2:$M$13*CX5/(1-輸入!$E$2)/$BC$2:$BC$13)*輸入!$E$6+SUMPRODUCT((($L$2:$L$13*CY5)+($M$2:$M$13*CY5/(1-輸入!$E$2)))/輸入!$S$6)*輸入!$E$8))</f>
        <v>3576660.3502869974</v>
      </c>
    </row>
    <row r="6" spans="1:107" s="2" customFormat="1" ht="16.5" customHeight="1">
      <c r="A6" s="170" t="s">
        <v>72</v>
      </c>
      <c r="B6" s="171">
        <v>31</v>
      </c>
      <c r="C6" s="173">
        <f>24/PI()*ACOS(-TAN(RADIANS(輸入!$B$5))*TAN(RADIANS(23.45*SIN(RADIANS(360*(284+135)/365)))))</f>
        <v>14.730889231542944</v>
      </c>
      <c r="D6" s="173">
        <f t="shared" si="0"/>
        <v>9.2691107684570557</v>
      </c>
      <c r="E6" s="173">
        <f>INDEX(氣象查表!$C$2:$N$21,MATCH(輸入!$B$2,氣象查表!$B$2:$B$21,0),5)+INDEX(氣象查表!$O$2:$O$21,MATCH(輸入!$B$2,氣象查表!$B$2:$B$21,0))</f>
        <v>18</v>
      </c>
      <c r="F6" s="173">
        <f>INDEX(氣象查表!$C$2:$N$21,MATCH(輸入!$B$2,氣象查表!$B$2:$B$21,0),5)+INDEX(氣象查表!$P$2:$P$21,MATCH(輸入!$B$2,氣象查表!$B$2:$B$21,0))</f>
        <v>8.5</v>
      </c>
      <c r="G6" s="42">
        <f>MAX(0,輸入!$B$3-E6)</f>
        <v>7</v>
      </c>
      <c r="H6" s="42">
        <f>MAX(0,輸入!$B$4-F6)</f>
        <v>11.5</v>
      </c>
      <c r="I6" s="41">
        <f>輸入!$B$17*G6*C6*B6/1000</f>
        <v>39126.420270116585</v>
      </c>
      <c r="J6" s="41">
        <f>輸入!$B$17*H6*D6*B6/1000</f>
        <v>40446.320984808466</v>
      </c>
      <c r="K6" s="43">
        <f>I6*輸入!$E$2</f>
        <v>1956.3210135058293</v>
      </c>
      <c r="L6" s="43">
        <f t="shared" si="1"/>
        <v>37170.099256610752</v>
      </c>
      <c r="M6" s="43">
        <f t="shared" si="2"/>
        <v>40446.320984808466</v>
      </c>
      <c r="N6" s="43">
        <f>L6*輸入!$E$3</f>
        <v>21240.056718063268</v>
      </c>
      <c r="O6" s="43">
        <f>L6*輸入!$E$4</f>
        <v>14071.537575716944</v>
      </c>
      <c r="P6" s="43">
        <f>M6*輸入!$E$12</f>
        <v>24328.614126200562</v>
      </c>
      <c r="Q6" s="43">
        <f>M6*輸入!$E$13</f>
        <v>16117.706858607904</v>
      </c>
      <c r="R6" s="44">
        <f>輸入!$T$5</f>
        <v>3.8</v>
      </c>
      <c r="S6" s="44">
        <f>MAX(R6*輸入!$E$17,MIN(R6*輸入!$E$16,R6+輸入!$E$15*(E6-輸入!$E$14)))</f>
        <v>4.5599999999999996</v>
      </c>
      <c r="T6" s="44">
        <f>MAX(R6*輸入!$E$17,MIN(R6*輸入!$E$16,R6+輸入!$E$15*(F6-輸入!$E$14)))</f>
        <v>3.9312499999999999</v>
      </c>
      <c r="U6" s="43">
        <f t="shared" si="3"/>
        <v>10846.425871662666</v>
      </c>
      <c r="V6" s="43">
        <f>IFERROR((O6+Q6)/輸入!$S$5,0)</f>
        <v>33543.604927027613</v>
      </c>
      <c r="W6" s="43">
        <f>IFERROR(N6/S6,0)*輸入!$E$5+IFERROR(P6/T6,0)*輸入!$E$6</f>
        <v>31773.971854170541</v>
      </c>
      <c r="X6" s="43">
        <f>V6*輸入!$E$8</f>
        <v>53993.730264833284</v>
      </c>
      <c r="Y6" s="43">
        <f t="shared" si="4"/>
        <v>85767.702119003821</v>
      </c>
      <c r="Z6" s="161">
        <f>輸入!$S$3</f>
        <v>0.9</v>
      </c>
      <c r="AA6" s="162">
        <f t="shared" si="5"/>
        <v>86240.466934910248</v>
      </c>
      <c r="AB6" s="162">
        <f>AA6*輸入!$E$8</f>
        <v>138817.65301394032</v>
      </c>
      <c r="AC6" s="162">
        <f>AA6*輸入!$E$9</f>
        <v>17420.574320851872</v>
      </c>
      <c r="AD6" s="162">
        <f t="shared" si="6"/>
        <v>17420.574320851872</v>
      </c>
      <c r="AE6" s="45">
        <f>輸入!$T$4</f>
        <v>4.0142857142857142</v>
      </c>
      <c r="AF6" s="45">
        <f>MAX(AE6*輸入!$E$17,MIN(AE6*輸入!$E$16,AE6+輸入!$E$15*(E6-輸入!$E$14)))</f>
        <v>4.8171428571428567</v>
      </c>
      <c r="AG6" s="45">
        <f>MAX(AE6*輸入!$E$17,MIN(AE6*輸入!$E$16,AE6+輸入!$E$15*(F6-輸入!$E$14)))</f>
        <v>4.1455357142857139</v>
      </c>
      <c r="AH6" s="46">
        <f t="shared" si="7"/>
        <v>17472.809696428027</v>
      </c>
      <c r="AI6" s="46">
        <f>IFERROR(L6/AF6,0)*輸入!$E$5+IFERROR(M6/AG6,0)*輸入!$E$6</f>
        <v>51398.237016760322</v>
      </c>
      <c r="AJ6" s="46">
        <f>AH6*輸入!$B$6</f>
        <v>11357.326302678217</v>
      </c>
      <c r="AK6" s="46">
        <f t="shared" si="8"/>
        <v>11357.326302678217</v>
      </c>
      <c r="AL6" s="47">
        <f>輸入!$T$5</f>
        <v>3.8</v>
      </c>
      <c r="AM6" s="47">
        <f t="shared" si="9"/>
        <v>4.5599999999999996</v>
      </c>
      <c r="AN6" s="47">
        <f t="shared" si="10"/>
        <v>3.9312499999999999</v>
      </c>
      <c r="AO6" s="48">
        <f t="shared" si="11"/>
        <v>10846.425871662666</v>
      </c>
      <c r="AP6" s="48">
        <f>AO6*輸入!$B$6</f>
        <v>7050.1768165807334</v>
      </c>
      <c r="AQ6" s="48">
        <f>V6*輸入!$E$9</f>
        <v>6775.8081952595785</v>
      </c>
      <c r="AR6" s="48">
        <f t="shared" si="12"/>
        <v>13825.985011840312</v>
      </c>
      <c r="AS6" s="49">
        <f t="shared" si="13"/>
        <v>34939.893301214128</v>
      </c>
      <c r="AT6" s="166">
        <f t="shared" si="20"/>
        <v>0.98947368421052706</v>
      </c>
      <c r="AU6" s="49">
        <f t="shared" si="14"/>
        <v>371.70099256608307</v>
      </c>
      <c r="AV6" s="166">
        <f t="shared" si="21"/>
        <v>1.0526315789472994E-2</v>
      </c>
      <c r="AW6" s="49">
        <f t="shared" si="15"/>
        <v>40020.570237599983</v>
      </c>
      <c r="AX6" s="166">
        <f t="shared" si="22"/>
        <v>0.98947368421052695</v>
      </c>
      <c r="AY6" s="49">
        <f t="shared" si="16"/>
        <v>425.75074720848221</v>
      </c>
      <c r="AZ6" s="166">
        <f t="shared" si="23"/>
        <v>1.0526315789472994E-2</v>
      </c>
      <c r="BA6" s="50">
        <f>輸入!$T$6</f>
        <v>4</v>
      </c>
      <c r="BB6" s="50">
        <f>MAX(BA6*輸入!$E$17,MIN(BA6*輸入!$E$16,BA6+輸入!$E$15*(E6-輸入!$E$14)))</f>
        <v>4.8</v>
      </c>
      <c r="BC6" s="50">
        <f>MAX(BA6*輸入!$E$17,MIN(BA6*輸入!$E$16,BA6+輸入!$E$15*(F6-輸入!$E$14)))</f>
        <v>4.1312499999999996</v>
      </c>
      <c r="BD6" s="49">
        <f t="shared" si="17"/>
        <v>16966.42316394961</v>
      </c>
      <c r="BE6" s="29">
        <f>IFERROR((AU6+AY6)/輸入!$S$6,0)</f>
        <v>906.19515883473332</v>
      </c>
      <c r="BF6" s="29">
        <f>IFERROR(AS6/BB6,0)*輸入!$E$5+IFERROR(AW6/BC6,0)*輸入!$E$6</f>
        <v>49695.202347626968</v>
      </c>
      <c r="BG6" s="29">
        <f>BE6*輸入!$E$8</f>
        <v>1458.6642395730144</v>
      </c>
      <c r="BH6" s="29">
        <f t="shared" si="18"/>
        <v>51153.866587199984</v>
      </c>
      <c r="BI6" s="29">
        <f>BD6*輸入!$B$6</f>
        <v>11028.175056567246</v>
      </c>
      <c r="BJ6" s="29">
        <f>BE6*輸入!$E$9</f>
        <v>183.05142208461615</v>
      </c>
      <c r="BK6" s="29">
        <f t="shared" si="19"/>
        <v>11211.226478651863</v>
      </c>
      <c r="BL6" s="59"/>
      <c r="BM6" s="60"/>
      <c r="BN6" s="60"/>
      <c r="BO6" s="53"/>
      <c r="BP6" s="53"/>
      <c r="BQ6" s="53"/>
      <c r="BR6" s="33"/>
      <c r="BS6" s="54"/>
      <c r="BT6" s="54"/>
      <c r="BU6" s="54"/>
      <c r="BV6" s="54"/>
      <c r="BW6" s="55"/>
      <c r="BX6" s="55"/>
      <c r="BY6" s="55"/>
      <c r="BZ6" s="55"/>
      <c r="CA6" s="55"/>
      <c r="CB6" s="56"/>
      <c r="CC6" s="56"/>
      <c r="CD6" s="57"/>
      <c r="CE6" s="57"/>
      <c r="CF6" s="57"/>
      <c r="CG6" s="57"/>
      <c r="CH6" s="57"/>
      <c r="CI6" s="57"/>
      <c r="CJ6" s="57"/>
      <c r="CK6" s="57"/>
      <c r="CL6" s="58">
        <v>4</v>
      </c>
      <c r="CM6" s="58">
        <f>IF(CL6=0,-$BH$4,IF(CL6&lt;=輸入!$E$19,$BH$2,""))</f>
        <v>438529.77515855734</v>
      </c>
      <c r="CN6" s="56">
        <f>IF(CL6=0,-$BI$4,IF(CL6&lt;=輸入!$E$19,$BI$2,""))</f>
        <v>99388.526164888739</v>
      </c>
      <c r="CO6" s="56">
        <f>IF(CL6=0,-$BJ$4,IF(CL6&lt;=輸入!$E$19,$BJ$2,""))</f>
        <v>896.13817669868433</v>
      </c>
      <c r="CP6" s="56">
        <f>IF(CL6=0,-$BK$4,IF(CL6&lt;=輸入!$E$19,$BK$2,""))</f>
        <v>100284.66434158743</v>
      </c>
      <c r="CX6" s="39">
        <f t="shared" si="24"/>
        <v>0.04</v>
      </c>
      <c r="CY6" s="39">
        <f>1-輸入!$E$2-CX6</f>
        <v>0.90999999999999992</v>
      </c>
      <c r="CZ6" s="40">
        <f>IF(OR(CX6&lt;0,CY6&lt;0,CX6&gt;1-輸入!$E$2),"",IF(1-輸入!$E$2=0,0,SUMPRODUCT($L$2:$L$13*CX6/$BB$2:$BB$13)*輸入!$E$5+SUMPRODUCT($M$2:$M$13*CX6/(1-輸入!$E$2)/$BC$2:$BC$13)*輸入!$E$6+SUMPRODUCT((($L$2:$L$13*CY6)+($M$2:$M$13*CY6/(1-輸入!$E$2)))/輸入!$S$6)*輸入!$E$8))</f>
        <v>3559774.9203248546</v>
      </c>
    </row>
    <row r="7" spans="1:107" s="2" customFormat="1" ht="16.5" customHeight="1">
      <c r="A7" s="170" t="s">
        <v>73</v>
      </c>
      <c r="B7" s="171">
        <v>30</v>
      </c>
      <c r="C7" s="173">
        <f>24/PI()*ACOS(-TAN(RADIANS(輸入!$B$5))*TAN(RADIANS(23.45*SIN(RADIANS(360*(284+166)/365)))))</f>
        <v>15.507528199951469</v>
      </c>
      <c r="D7" s="173">
        <f t="shared" si="0"/>
        <v>8.4924718000485306</v>
      </c>
      <c r="E7" s="173">
        <f>INDEX(氣象查表!$C$2:$N$21,MATCH(輸入!$B$2,氣象查表!$B$2:$B$21,0),6)+INDEX(氣象查表!$O$2:$O$21,MATCH(輸入!$B$2,氣象查表!$B$2:$B$21,0))</f>
        <v>24.1</v>
      </c>
      <c r="F7" s="173">
        <f>INDEX(氣象查表!$C$2:$N$21,MATCH(輸入!$B$2,氣象查表!$B$2:$B$21,0),6)+INDEX(氣象查表!$P$2:$P$21,MATCH(輸入!$B$2,氣象查表!$B$2:$B$21,0))</f>
        <v>14.600000000000001</v>
      </c>
      <c r="G7" s="42">
        <f>MAX(0,輸入!$B$3-E7)</f>
        <v>0.89999999999999858</v>
      </c>
      <c r="H7" s="42">
        <f>MAX(0,輸入!$B$4-F7)</f>
        <v>5.3999999999999986</v>
      </c>
      <c r="I7" s="41">
        <f>輸入!$B$17*G7*C7*B7/1000</f>
        <v>5124.9279195199533</v>
      </c>
      <c r="J7" s="41">
        <f>輸入!$B$17*H7*D7*B7/1000</f>
        <v>16839.552482880226</v>
      </c>
      <c r="K7" s="43">
        <f>I7*輸入!$E$2</f>
        <v>256.2463959759977</v>
      </c>
      <c r="L7" s="43">
        <f t="shared" si="1"/>
        <v>4868.6815235439553</v>
      </c>
      <c r="M7" s="43">
        <f t="shared" si="2"/>
        <v>16839.552482880226</v>
      </c>
      <c r="N7" s="43">
        <f>L7*輸入!$E$3</f>
        <v>2782.1037277394007</v>
      </c>
      <c r="O7" s="43">
        <f>L7*輸入!$E$4</f>
        <v>1843.1437196273566</v>
      </c>
      <c r="P7" s="43">
        <f>M7*輸入!$E$12</f>
        <v>10129.05412504073</v>
      </c>
      <c r="Q7" s="43">
        <f>M7*輸入!$E$13</f>
        <v>6710.4983578394967</v>
      </c>
      <c r="R7" s="44">
        <f>輸入!$T$5</f>
        <v>3.8</v>
      </c>
      <c r="S7" s="44">
        <f>MAX(R7*輸入!$E$17,MIN(R7*輸入!$E$16,R7+輸入!$E$15*(E7-輸入!$E$14)))</f>
        <v>4.5599999999999996</v>
      </c>
      <c r="T7" s="44">
        <f>MAX(R7*輸入!$E$17,MIN(R7*輸入!$E$16,R7+輸入!$E$15*(F7-輸入!$E$14)))</f>
        <v>4.4649999999999999</v>
      </c>
      <c r="U7" s="43">
        <f t="shared" si="3"/>
        <v>2878.6556233935562</v>
      </c>
      <c r="V7" s="43">
        <f>IFERROR((O7+Q7)/輸入!$S$5,0)</f>
        <v>9504.0467527409473</v>
      </c>
      <c r="W7" s="43">
        <f>IFERROR(N7/S7,0)*輸入!$E$5+IFERROR(P7/T7,0)*輸入!$E$6</f>
        <v>7806.749525093408</v>
      </c>
      <c r="X7" s="43">
        <f>V7*輸入!$E$8</f>
        <v>15298.264390729926</v>
      </c>
      <c r="Y7" s="43">
        <f t="shared" si="4"/>
        <v>23105.013915823336</v>
      </c>
      <c r="Z7" s="161">
        <f>輸入!$S$3</f>
        <v>0.9</v>
      </c>
      <c r="AA7" s="162">
        <f t="shared" si="5"/>
        <v>24120.260007137978</v>
      </c>
      <c r="AB7" s="162">
        <f>AA7*輸入!$E$8</f>
        <v>38825.368220745317</v>
      </c>
      <c r="AC7" s="162">
        <f>AA7*輸入!$E$9</f>
        <v>4872.2925214418719</v>
      </c>
      <c r="AD7" s="162">
        <f t="shared" si="6"/>
        <v>4872.2925214418719</v>
      </c>
      <c r="AE7" s="45">
        <f>輸入!$T$4</f>
        <v>4.0142857142857142</v>
      </c>
      <c r="AF7" s="45">
        <f>MAX(AE7*輸入!$E$17,MIN(AE7*輸入!$E$16,AE7+輸入!$E$15*(E7-輸入!$E$14)))</f>
        <v>4.8171428571428567</v>
      </c>
      <c r="AG7" s="45">
        <f>MAX(AE7*輸入!$E$17,MIN(AE7*輸入!$E$16,AE7+輸入!$E$15*(F7-輸入!$E$14)))</f>
        <v>4.6792857142857143</v>
      </c>
      <c r="AH7" s="46">
        <f t="shared" si="7"/>
        <v>4609.443245274213</v>
      </c>
      <c r="AI7" s="46">
        <f>IFERROR(L7/AF7,0)*輸入!$E$5+IFERROR(M7/AG7,0)*輸入!$E$6</f>
        <v>12534.307124597384</v>
      </c>
      <c r="AJ7" s="46">
        <f>AH7*輸入!$B$6</f>
        <v>2996.1381094282387</v>
      </c>
      <c r="AK7" s="46">
        <f t="shared" si="8"/>
        <v>2996.1381094282387</v>
      </c>
      <c r="AL7" s="47">
        <f>輸入!$T$5</f>
        <v>3.8</v>
      </c>
      <c r="AM7" s="47">
        <f t="shared" si="9"/>
        <v>4.5599999999999996</v>
      </c>
      <c r="AN7" s="47">
        <f t="shared" si="10"/>
        <v>4.4649999999999999</v>
      </c>
      <c r="AO7" s="48">
        <f t="shared" si="11"/>
        <v>2878.6556233935562</v>
      </c>
      <c r="AP7" s="48">
        <f>AO7*輸入!$B$6</f>
        <v>1871.1261552058115</v>
      </c>
      <c r="AQ7" s="48">
        <f>V7*輸入!$E$9</f>
        <v>1919.8174440536716</v>
      </c>
      <c r="AR7" s="48">
        <f t="shared" si="12"/>
        <v>3790.9435992594831</v>
      </c>
      <c r="AS7" s="49">
        <f t="shared" si="13"/>
        <v>4576.5606321313207</v>
      </c>
      <c r="AT7" s="166">
        <f t="shared" si="20"/>
        <v>0.98947368421052695</v>
      </c>
      <c r="AU7" s="49">
        <f t="shared" si="14"/>
        <v>48.686815235436356</v>
      </c>
      <c r="AV7" s="166">
        <f t="shared" si="21"/>
        <v>1.0526315789472994E-2</v>
      </c>
      <c r="AW7" s="49">
        <f t="shared" si="15"/>
        <v>16662.294035692026</v>
      </c>
      <c r="AX7" s="166">
        <f t="shared" si="22"/>
        <v>0.98947368421052706</v>
      </c>
      <c r="AY7" s="49">
        <f t="shared" si="16"/>
        <v>177.25844718820127</v>
      </c>
      <c r="AZ7" s="166">
        <f t="shared" si="23"/>
        <v>1.0526315789472994E-2</v>
      </c>
      <c r="BA7" s="50">
        <f>輸入!$T$6</f>
        <v>4</v>
      </c>
      <c r="BB7" s="50">
        <f>MAX(BA7*輸入!$E$17,MIN(BA7*輸入!$E$16,BA7+輸入!$E$15*(E7-輸入!$E$14)))</f>
        <v>4.8</v>
      </c>
      <c r="BC7" s="50">
        <f>MAX(BA7*輸入!$E$17,MIN(BA7*輸入!$E$16,BA7+輸入!$E$15*(F7-輸入!$E$14)))</f>
        <v>4.665</v>
      </c>
      <c r="BD7" s="49">
        <f t="shared" si="17"/>
        <v>4525.217341917396</v>
      </c>
      <c r="BE7" s="29">
        <f>IFERROR((AU7+AY7)/輸入!$S$6,0)</f>
        <v>256.75598002686098</v>
      </c>
      <c r="BF7" s="29">
        <f>IFERROR(AS7/BB7,0)*輸入!$E$5+IFERROR(AW7/BC7,0)*輸入!$E$6</f>
        <v>12266.493486487516</v>
      </c>
      <c r="BG7" s="29">
        <f>BE7*輸入!$E$8</f>
        <v>413.28930386617543</v>
      </c>
      <c r="BH7" s="29">
        <f t="shared" si="18"/>
        <v>12679.782790353691</v>
      </c>
      <c r="BI7" s="29">
        <f>BD7*輸入!$B$6</f>
        <v>2941.3912722463074</v>
      </c>
      <c r="BJ7" s="29">
        <f>BE7*輸入!$E$9</f>
        <v>51.864707965425922</v>
      </c>
      <c r="BK7" s="29">
        <f t="shared" si="19"/>
        <v>2993.2559802117335</v>
      </c>
      <c r="BL7" s="59"/>
      <c r="BM7" s="60"/>
      <c r="BN7" s="60"/>
      <c r="BO7" s="53"/>
      <c r="BP7" s="53"/>
      <c r="BQ7" s="53"/>
      <c r="BR7" s="33"/>
      <c r="BS7" s="54"/>
      <c r="BT7" s="54"/>
      <c r="BU7" s="54"/>
      <c r="BV7" s="54"/>
      <c r="BW7" s="55"/>
      <c r="BX7" s="55"/>
      <c r="BY7" s="55"/>
      <c r="BZ7" s="55"/>
      <c r="CA7" s="55"/>
      <c r="CB7" s="56"/>
      <c r="CC7" s="56"/>
      <c r="CD7" s="57"/>
      <c r="CE7" s="57"/>
      <c r="CF7" s="57"/>
      <c r="CG7" s="57"/>
      <c r="CH7" s="57"/>
      <c r="CI7" s="57"/>
      <c r="CJ7" s="57"/>
      <c r="CK7" s="57"/>
      <c r="CL7" s="58">
        <v>5</v>
      </c>
      <c r="CM7" s="58">
        <f>IF(CL7=0,-$BH$4,IF(CL7&lt;=輸入!$E$19,$BH$2,""))</f>
        <v>438529.77515855734</v>
      </c>
      <c r="CN7" s="56">
        <f>IF(CL7=0,-$BI$4,IF(CL7&lt;=輸入!$E$19,$BI$2,""))</f>
        <v>99388.526164888739</v>
      </c>
      <c r="CO7" s="56">
        <f>IF(CL7=0,-$BJ$4,IF(CL7&lt;=輸入!$E$19,$BJ$2,""))</f>
        <v>896.13817669868433</v>
      </c>
      <c r="CP7" s="56">
        <f>IF(CL7=0,-$BK$4,IF(CL7&lt;=輸入!$E$19,$BK$2,""))</f>
        <v>100284.66434158743</v>
      </c>
      <c r="CX7" s="39">
        <f t="shared" si="24"/>
        <v>0.05</v>
      </c>
      <c r="CY7" s="39">
        <f>1-輸入!$E$2-CX7</f>
        <v>0.89999999999999991</v>
      </c>
      <c r="CZ7" s="40">
        <f>IF(OR(CX7&lt;0,CY7&lt;0,CX7&gt;1-輸入!$E$2),"",IF(1-輸入!$E$2=0,0,SUMPRODUCT($L$2:$L$13*CX7/$BB$2:$BB$13)*輸入!$E$5+SUMPRODUCT($M$2:$M$13*CX7/(1-輸入!$E$2)/$BC$2:$BC$13)*輸入!$E$6+SUMPRODUCT((($L$2:$L$13*CY7)+($M$2:$M$13*CY7/(1-輸入!$E$2)))/輸入!$S$6)*輸入!$E$8))</f>
        <v>3542889.4903627122</v>
      </c>
    </row>
    <row r="8" spans="1:107" s="2" customFormat="1" ht="16.5" customHeight="1">
      <c r="A8" s="170" t="s">
        <v>74</v>
      </c>
      <c r="B8" s="171">
        <v>31</v>
      </c>
      <c r="C8" s="173">
        <f>24/PI()*ACOS(-TAN(RADIANS(輸入!$B$5))*TAN(RADIANS(23.45*SIN(RADIANS(360*(284+196)/365)))))</f>
        <v>15.189047483121184</v>
      </c>
      <c r="D8" s="173">
        <f t="shared" si="0"/>
        <v>8.8109525168788156</v>
      </c>
      <c r="E8" s="173">
        <f>INDEX(氣象查表!$C$2:$N$21,MATCH(輸入!$B$2,氣象查表!$B$2:$B$21,0),7)+INDEX(氣象查表!$O$2:$O$21,MATCH(輸入!$B$2,氣象查表!$B$2:$B$21,0))</f>
        <v>27</v>
      </c>
      <c r="F8" s="173">
        <f>INDEX(氣象查表!$C$2:$N$21,MATCH(輸入!$B$2,氣象查表!$B$2:$B$21,0),7)+INDEX(氣象查表!$P$2:$P$21,MATCH(輸入!$B$2,氣象查表!$B$2:$B$21,0))</f>
        <v>17.5</v>
      </c>
      <c r="G8" s="42">
        <f>MAX(0,輸入!$B$3-E8)</f>
        <v>0</v>
      </c>
      <c r="H8" s="42">
        <f>MAX(0,輸入!$B$4-F8)</f>
        <v>2.5</v>
      </c>
      <c r="I8" s="41">
        <f>輸入!$B$17*G8*C8*B8/1000</f>
        <v>0</v>
      </c>
      <c r="J8" s="41">
        <f>輸入!$B$17*H8*D8*B8/1000</f>
        <v>8358.0695575112441</v>
      </c>
      <c r="K8" s="43">
        <f>I8*輸入!$E$2</f>
        <v>0</v>
      </c>
      <c r="L8" s="43">
        <f t="shared" si="1"/>
        <v>0</v>
      </c>
      <c r="M8" s="43">
        <f t="shared" si="2"/>
        <v>8358.0695575112441</v>
      </c>
      <c r="N8" s="43">
        <f>L8*輸入!$E$3</f>
        <v>0</v>
      </c>
      <c r="O8" s="43">
        <f>L8*輸入!$E$4</f>
        <v>0</v>
      </c>
      <c r="P8" s="43">
        <f>M8*輸入!$E$12</f>
        <v>5027.4102601571349</v>
      </c>
      <c r="Q8" s="43">
        <f>M8*輸入!$E$13</f>
        <v>3330.6592973541087</v>
      </c>
      <c r="R8" s="44">
        <f>輸入!$T$5</f>
        <v>3.8</v>
      </c>
      <c r="S8" s="44">
        <f>MAX(R8*輸入!$E$17,MIN(R8*輸入!$E$16,R8+輸入!$E$15*(E8-輸入!$E$14)))</f>
        <v>4.5599999999999996</v>
      </c>
      <c r="T8" s="44">
        <f>MAX(R8*輸入!$E$17,MIN(R8*輸入!$E$16,R8+輸入!$E$15*(F8-輸入!$E$14)))</f>
        <v>4.5599999999999996</v>
      </c>
      <c r="U8" s="43">
        <f t="shared" si="3"/>
        <v>1102.5022500344594</v>
      </c>
      <c r="V8" s="43">
        <f>IFERROR((O8+Q8)/輸入!$S$5,0)</f>
        <v>3700.7325526156765</v>
      </c>
      <c r="W8" s="43">
        <f>IFERROR(N8/S8,0)*輸入!$E$5+IFERROR(P8/T8,0)*輸入!$E$6</f>
        <v>2756.2556250861485</v>
      </c>
      <c r="X8" s="43">
        <f>V8*輸入!$E$8</f>
        <v>5956.9135655785658</v>
      </c>
      <c r="Y8" s="43">
        <f t="shared" si="4"/>
        <v>8713.1691906647138</v>
      </c>
      <c r="Z8" s="161">
        <f>輸入!$S$3</f>
        <v>0.9</v>
      </c>
      <c r="AA8" s="162">
        <f t="shared" si="5"/>
        <v>9286.7439527902716</v>
      </c>
      <c r="AB8" s="162">
        <f>AA8*輸入!$E$8</f>
        <v>14948.481211734874</v>
      </c>
      <c r="AC8" s="162">
        <f>AA8*輸入!$E$9</f>
        <v>1875.9222784636349</v>
      </c>
      <c r="AD8" s="162">
        <f t="shared" si="6"/>
        <v>1875.9222784636349</v>
      </c>
      <c r="AE8" s="45">
        <f>輸入!$T$4</f>
        <v>4.0142857142857142</v>
      </c>
      <c r="AF8" s="45">
        <f>MAX(AE8*輸入!$E$17,MIN(AE8*輸入!$E$16,AE8+輸入!$E$15*(E8-輸入!$E$14)))</f>
        <v>4.8171428571428567</v>
      </c>
      <c r="AG8" s="45">
        <f>MAX(AE8*輸入!$E$17,MIN(AE8*輸入!$E$16,AE8+輸入!$E$15*(F8-輸入!$E$14)))</f>
        <v>4.8171428571428567</v>
      </c>
      <c r="AH8" s="46">
        <f t="shared" si="7"/>
        <v>1735.0678203611717</v>
      </c>
      <c r="AI8" s="46">
        <f>IFERROR(L8/AF8,0)*輸入!$E$5+IFERROR(M8/AG8,0)*輸入!$E$6</f>
        <v>4337.6695509029296</v>
      </c>
      <c r="AJ8" s="46">
        <f>AH8*輸入!$B$6</f>
        <v>1127.7940832347617</v>
      </c>
      <c r="AK8" s="46">
        <f t="shared" si="8"/>
        <v>1127.7940832347617</v>
      </c>
      <c r="AL8" s="47">
        <f>輸入!$T$5</f>
        <v>3.8</v>
      </c>
      <c r="AM8" s="47">
        <f t="shared" si="9"/>
        <v>4.5599999999999996</v>
      </c>
      <c r="AN8" s="47">
        <f t="shared" si="10"/>
        <v>4.5599999999999996</v>
      </c>
      <c r="AO8" s="48">
        <f t="shared" si="11"/>
        <v>1102.5022500344594</v>
      </c>
      <c r="AP8" s="48">
        <f>AO8*輸入!$B$6</f>
        <v>716.62646252239858</v>
      </c>
      <c r="AQ8" s="48">
        <f>V8*輸入!$E$9</f>
        <v>747.54797562836666</v>
      </c>
      <c r="AR8" s="48">
        <f t="shared" si="12"/>
        <v>1464.1744381507651</v>
      </c>
      <c r="AS8" s="49">
        <f t="shared" si="13"/>
        <v>0</v>
      </c>
      <c r="AT8" s="166"/>
      <c r="AU8" s="49">
        <f t="shared" si="14"/>
        <v>0</v>
      </c>
      <c r="AV8" s="166"/>
      <c r="AW8" s="49">
        <f t="shared" si="15"/>
        <v>8270.0898779585004</v>
      </c>
      <c r="AX8" s="166">
        <f t="shared" si="22"/>
        <v>0.98947368421052706</v>
      </c>
      <c r="AY8" s="49">
        <f t="shared" si="16"/>
        <v>87.979679552744159</v>
      </c>
      <c r="AZ8" s="166">
        <f t="shared" si="23"/>
        <v>1.0526315789472994E-2</v>
      </c>
      <c r="BA8" s="50">
        <f>輸入!$T$6</f>
        <v>4</v>
      </c>
      <c r="BB8" s="50">
        <f>MAX(BA8*輸入!$E$17,MIN(BA8*輸入!$E$16,BA8+輸入!$E$15*(E8-輸入!$E$14)))</f>
        <v>4.8</v>
      </c>
      <c r="BC8" s="50">
        <f>MAX(BA8*輸入!$E$17,MIN(BA8*輸入!$E$16,BA8+輸入!$E$15*(F8-輸入!$E$14)))</f>
        <v>4.8</v>
      </c>
      <c r="BD8" s="49">
        <f t="shared" si="17"/>
        <v>1722.9353912413544</v>
      </c>
      <c r="BE8" s="29">
        <f>IFERROR((AU8+AY8)/輸入!$S$6,0)</f>
        <v>99.97690858266381</v>
      </c>
      <c r="BF8" s="29">
        <f>IFERROR(AS8/BB8,0)*輸入!$E$5+IFERROR(AW8/BC8,0)*輸入!$E$6</f>
        <v>4307.3384781033856</v>
      </c>
      <c r="BG8" s="29">
        <f>BE8*輸入!$E$8</f>
        <v>160.92862548517346</v>
      </c>
      <c r="BH8" s="29">
        <f t="shared" si="18"/>
        <v>4468.2671035885587</v>
      </c>
      <c r="BI8" s="29">
        <f>BD8*輸入!$B$6</f>
        <v>1119.9080043068805</v>
      </c>
      <c r="BJ8" s="29">
        <f>BE8*輸入!$E$9</f>
        <v>20.195335533698092</v>
      </c>
      <c r="BK8" s="29">
        <f t="shared" si="19"/>
        <v>1140.1033398405787</v>
      </c>
      <c r="BL8" s="59"/>
      <c r="BM8" s="60"/>
      <c r="BN8" s="60"/>
      <c r="BO8" s="53"/>
      <c r="BP8" s="53"/>
      <c r="BQ8" s="53"/>
      <c r="BR8" s="33"/>
      <c r="BS8" s="54"/>
      <c r="BT8" s="54"/>
      <c r="BU8" s="54"/>
      <c r="BV8" s="54"/>
      <c r="BW8" s="55"/>
      <c r="BX8" s="55"/>
      <c r="BY8" s="55"/>
      <c r="BZ8" s="55"/>
      <c r="CA8" s="55"/>
      <c r="CB8" s="56"/>
      <c r="CC8" s="56"/>
      <c r="CD8" s="57"/>
      <c r="CE8" s="57"/>
      <c r="CF8" s="57"/>
      <c r="CG8" s="57"/>
      <c r="CH8" s="57"/>
      <c r="CI8" s="57"/>
      <c r="CJ8" s="57"/>
      <c r="CK8" s="57"/>
      <c r="CL8" s="58">
        <v>6</v>
      </c>
      <c r="CM8" s="58">
        <f>IF(CL8=0,-$BH$4,IF(CL8&lt;=輸入!$E$19,$BH$2,""))</f>
        <v>438529.77515855734</v>
      </c>
      <c r="CN8" s="56">
        <f>IF(CL8=0,-$BI$4,IF(CL8&lt;=輸入!$E$19,$BI$2,""))</f>
        <v>99388.526164888739</v>
      </c>
      <c r="CO8" s="56">
        <f>IF(CL8=0,-$BJ$4,IF(CL8&lt;=輸入!$E$19,$BJ$2,""))</f>
        <v>896.13817669868433</v>
      </c>
      <c r="CP8" s="56">
        <f>IF(CL8=0,-$BK$4,IF(CL8&lt;=輸入!$E$19,$BK$2,""))</f>
        <v>100284.66434158743</v>
      </c>
      <c r="CX8" s="39">
        <f t="shared" si="24"/>
        <v>6.0000000000000005E-2</v>
      </c>
      <c r="CY8" s="39">
        <f>1-輸入!$E$2-CX8</f>
        <v>0.8899999999999999</v>
      </c>
      <c r="CZ8" s="40">
        <f>IF(OR(CX8&lt;0,CY8&lt;0,CX8&gt;1-輸入!$E$2),"",IF(1-輸入!$E$2=0,0,SUMPRODUCT($L$2:$L$13*CX8/$BB$2:$BB$13)*輸入!$E$5+SUMPRODUCT($M$2:$M$13*CX8/(1-輸入!$E$2)/$BC$2:$BC$13)*輸入!$E$6+SUMPRODUCT((($L$2:$L$13*CY8)+($M$2:$M$13*CY8/(1-輸入!$E$2)))/輸入!$S$6)*輸入!$E$8))</f>
        <v>3526004.0604005693</v>
      </c>
    </row>
    <row r="9" spans="1:107" s="2" customFormat="1" ht="16.5" customHeight="1">
      <c r="A9" s="170" t="s">
        <v>75</v>
      </c>
      <c r="B9" s="171">
        <v>31</v>
      </c>
      <c r="C9" s="173">
        <f>24/PI()*ACOS(-TAN(RADIANS(輸入!$B$5))*TAN(RADIANS(23.45*SIN(RADIANS(360*(284+227)/365)))))</f>
        <v>13.94823082498219</v>
      </c>
      <c r="D9" s="173">
        <f t="shared" si="0"/>
        <v>10.05176917501781</v>
      </c>
      <c r="E9" s="173">
        <f>INDEX(氣象查表!$C$2:$N$21,MATCH(輸入!$B$2,氣象查表!$B$2:$B$21,0),8)+INDEX(氣象查表!$O$2:$O$21,MATCH(輸入!$B$2,氣象查表!$B$2:$B$21,0))</f>
        <v>25.6</v>
      </c>
      <c r="F9" s="173">
        <f>INDEX(氣象查表!$C$2:$N$21,MATCH(輸入!$B$2,氣象查表!$B$2:$B$21,0),8)+INDEX(氣象查表!$P$2:$P$21,MATCH(輸入!$B$2,氣象查表!$B$2:$B$21,0))</f>
        <v>16.100000000000001</v>
      </c>
      <c r="G9" s="42">
        <f>MAX(0,輸入!$B$3-E9)</f>
        <v>0</v>
      </c>
      <c r="H9" s="42">
        <f>MAX(0,輸入!$B$4-F9)</f>
        <v>3.8999999999999986</v>
      </c>
      <c r="I9" s="41">
        <f>輸入!$B$17*G9*C9*B9/1000</f>
        <v>0</v>
      </c>
      <c r="J9" s="41">
        <f>輸入!$B$17*H9*D9*B9/1000</f>
        <v>14874.768853498152</v>
      </c>
      <c r="K9" s="43">
        <f>I9*輸入!$E$2</f>
        <v>0</v>
      </c>
      <c r="L9" s="43">
        <f t="shared" si="1"/>
        <v>0</v>
      </c>
      <c r="M9" s="43">
        <f t="shared" si="2"/>
        <v>14874.768853498152</v>
      </c>
      <c r="N9" s="43">
        <f>輸入!E18*輸入!$E$3</f>
        <v>4.571428571428568E-2</v>
      </c>
      <c r="O9" s="43">
        <f>輸入!E18*輸入!$E$4</f>
        <v>3.0285714285714322E-2</v>
      </c>
      <c r="P9" s="43">
        <f>M9*輸入!$E$12</f>
        <v>8947.2293855627904</v>
      </c>
      <c r="Q9" s="43">
        <f>M9*輸入!$E$13</f>
        <v>5927.5394679353603</v>
      </c>
      <c r="R9" s="44">
        <f>輸入!$T$5</f>
        <v>3.8</v>
      </c>
      <c r="S9" s="44">
        <f>MAX(R9*輸入!$E$17,MIN(R9*輸入!$E$16,R9+輸入!$E$15*(E9-輸入!$E$14)))</f>
        <v>4.5599999999999996</v>
      </c>
      <c r="T9" s="44">
        <f>MAX(R9*輸入!$E$17,MIN(R9*輸入!$E$16,R9+輸入!$E$15*(F9-輸入!$E$14)))</f>
        <v>4.5599999999999996</v>
      </c>
      <c r="U9" s="43">
        <f t="shared" si="3"/>
        <v>1962.1217324229181</v>
      </c>
      <c r="V9" s="43">
        <f>IFERROR((O9+Q9)/輸入!$S$5,0)</f>
        <v>6586.1886151662738</v>
      </c>
      <c r="W9" s="43">
        <f>IFERROR(N9/S9,0)*輸入!$E$5+IFERROR(P9/T9,0)*輸入!$E$6</f>
        <v>4905.3143561199522</v>
      </c>
      <c r="X9" s="43">
        <f>V9*輸入!$E$8</f>
        <v>10601.510849362232</v>
      </c>
      <c r="Y9" s="43">
        <f t="shared" si="4"/>
        <v>15506.825205482184</v>
      </c>
      <c r="Z9" s="161">
        <f>輸入!$S$3</f>
        <v>0.9</v>
      </c>
      <c r="AA9" s="162">
        <f>IFERROR((輸入!E18+M9)/Z9,0)</f>
        <v>16527.609837220167</v>
      </c>
      <c r="AB9" s="162">
        <f>AA9*輸入!$E$8</f>
        <v>26603.798530736742</v>
      </c>
      <c r="AC9" s="162">
        <f>AA9*輸入!$E$9</f>
        <v>3338.5771871184738</v>
      </c>
      <c r="AD9" s="162">
        <f t="shared" si="6"/>
        <v>3338.5771871184738</v>
      </c>
      <c r="AE9" s="45">
        <f>輸入!$T$4</f>
        <v>4.0142857142857142</v>
      </c>
      <c r="AF9" s="45">
        <f>MAX(AE9*輸入!$E$17,MIN(AE9*輸入!$E$16,AE9+輸入!$E$15*(E9-輸入!$E$14)))</f>
        <v>4.8171428571428567</v>
      </c>
      <c r="AG9" s="45">
        <f>MAX(AE9*輸入!$E$17,MIN(AE9*輸入!$E$16,AE9+輸入!$E$15*(F9-輸入!$E$14)))</f>
        <v>4.8105357142857148</v>
      </c>
      <c r="AH9" s="46">
        <f>IFERROR(L9/AF9,0)+IFERROR(M9/AG9,0)</f>
        <v>3092.1231515494133</v>
      </c>
      <c r="AI9" s="46">
        <f>IFERROR(L9/AF9,0)*輸入!$E$5+IFERROR(M9/AG9,0)*輸入!$E$6</f>
        <v>7730.3078788735329</v>
      </c>
      <c r="AJ9" s="46">
        <f>AH9*輸入!$B$6</f>
        <v>2009.8800485071188</v>
      </c>
      <c r="AK9" s="46">
        <f t="shared" si="8"/>
        <v>2009.8800485071188</v>
      </c>
      <c r="AL9" s="47">
        <f>輸入!$T$5</f>
        <v>3.8</v>
      </c>
      <c r="AM9" s="47">
        <f t="shared" si="9"/>
        <v>4.5599999999999996</v>
      </c>
      <c r="AN9" s="47">
        <f t="shared" si="10"/>
        <v>4.5599999999999996</v>
      </c>
      <c r="AO9" s="48">
        <f t="shared" si="11"/>
        <v>1962.1217324229181</v>
      </c>
      <c r="AP9" s="48">
        <f>AO9*輸入!$B$6</f>
        <v>1275.3791260748967</v>
      </c>
      <c r="AQ9" s="48">
        <f>V9*輸入!$E$9</f>
        <v>1330.4101002635873</v>
      </c>
      <c r="AR9" s="48">
        <f t="shared" si="12"/>
        <v>2605.7892263384838</v>
      </c>
      <c r="AS9" s="49">
        <f t="shared" si="13"/>
        <v>0</v>
      </c>
      <c r="AT9" s="166"/>
      <c r="AU9" s="49">
        <f t="shared" si="14"/>
        <v>0</v>
      </c>
      <c r="AV9" s="166"/>
      <c r="AW9" s="49">
        <f t="shared" si="15"/>
        <v>14718.192339250814</v>
      </c>
      <c r="AX9" s="166">
        <f t="shared" si="22"/>
        <v>0.98947368421052695</v>
      </c>
      <c r="AY9" s="49">
        <f t="shared" si="16"/>
        <v>156.57651424733868</v>
      </c>
      <c r="AZ9" s="166">
        <f t="shared" si="23"/>
        <v>1.0526315789472992E-2</v>
      </c>
      <c r="BA9" s="50">
        <f>輸入!$T$6</f>
        <v>4</v>
      </c>
      <c r="BB9" s="50">
        <f>MAX(BA9*輸入!$E$17,MIN(BA9*輸入!$E$16,BA9+輸入!$E$15*(E9-輸入!$E$14)))</f>
        <v>4.8</v>
      </c>
      <c r="BC9" s="50">
        <f>MAX(BA9*輸入!$E$17,MIN(BA9*輸入!$E$16,BA9+輸入!$E$15*(F9-輸入!$E$14)))</f>
        <v>4.7962500000000006</v>
      </c>
      <c r="BD9" s="49">
        <f t="shared" si="17"/>
        <v>3068.687482773169</v>
      </c>
      <c r="BE9" s="29">
        <f>IFERROR((AU9+AY9)/輸入!$S$6,0)</f>
        <v>177.92785709924848</v>
      </c>
      <c r="BF9" s="29">
        <f>IFERROR(AS9/BB9,0)*輸入!$E$5+IFERROR(AW9/BC9,0)*輸入!$E$6</f>
        <v>7671.7187069329229</v>
      </c>
      <c r="BG9" s="29">
        <f>BE9*輸入!$E$8</f>
        <v>286.40298929456554</v>
      </c>
      <c r="BH9" s="29">
        <f t="shared" si="18"/>
        <v>7958.1216962274884</v>
      </c>
      <c r="BI9" s="29">
        <f>BD9*輸入!$B$6</f>
        <v>1994.6468638025599</v>
      </c>
      <c r="BJ9" s="29">
        <f>BE9*輸入!$E$9</f>
        <v>35.941427134048197</v>
      </c>
      <c r="BK9" s="29">
        <f t="shared" si="19"/>
        <v>2030.588290936608</v>
      </c>
      <c r="BL9" s="59"/>
      <c r="BM9" s="60"/>
      <c r="BN9" s="60"/>
      <c r="BO9" s="53"/>
      <c r="BP9" s="53"/>
      <c r="BQ9" s="53"/>
      <c r="BR9" s="33"/>
      <c r="BS9" s="54"/>
      <c r="BT9" s="54"/>
      <c r="BU9" s="54"/>
      <c r="BV9" s="54"/>
      <c r="BW9" s="55"/>
      <c r="BX9" s="55"/>
      <c r="BY9" s="55"/>
      <c r="BZ9" s="55"/>
      <c r="CA9" s="55"/>
      <c r="CB9" s="56"/>
      <c r="CC9" s="56"/>
      <c r="CD9" s="57"/>
      <c r="CE9" s="57"/>
      <c r="CF9" s="57"/>
      <c r="CG9" s="57"/>
      <c r="CH9" s="57"/>
      <c r="CI9" s="57"/>
      <c r="CJ9" s="57"/>
      <c r="CK9" s="57"/>
      <c r="CL9" s="58">
        <v>7</v>
      </c>
      <c r="CM9" s="58">
        <f>IF(CL9=0,-$BH$4,IF(CL9&lt;=輸入!$E$19,$BH$2,""))</f>
        <v>438529.77515855734</v>
      </c>
      <c r="CN9" s="56">
        <f>IF(CL9=0,-$BI$4,IF(CL9&lt;=輸入!$E$19,$BI$2,""))</f>
        <v>99388.526164888739</v>
      </c>
      <c r="CO9" s="56">
        <f>IF(CL9=0,-$BJ$4,IF(CL9&lt;=輸入!$E$19,$BJ$2,""))</f>
        <v>896.13817669868433</v>
      </c>
      <c r="CP9" s="56">
        <f>IF(CL9=0,-$BK$4,IF(CL9&lt;=輸入!$E$19,$BK$2,""))</f>
        <v>100284.66434158743</v>
      </c>
      <c r="CX9" s="39">
        <f t="shared" si="24"/>
        <v>7.0000000000000007E-2</v>
      </c>
      <c r="CY9" s="39">
        <f>1-輸入!$E$2-CX9</f>
        <v>0.87999999999999989</v>
      </c>
      <c r="CZ9" s="40">
        <f>IF(OR(CX9&lt;0,CY9&lt;0,CX9&gt;1-輸入!$E$2),"",IF(1-輸入!$E$2=0,0,SUMPRODUCT($L$2:$L$13*CX9/$BB$2:$BB$13)*輸入!$E$5+SUMPRODUCT($M$2:$M$13*CX9/(1-輸入!$E$2)/$BC$2:$BC$13)*輸入!$E$6+SUMPRODUCT((($L$2:$L$13*CY9)+($M$2:$M$13*CY9/(1-輸入!$E$2)))/輸入!$S$6)*輸入!$E$8))</f>
        <v>3509118.6304384274</v>
      </c>
    </row>
    <row r="10" spans="1:107" s="2" customFormat="1" ht="32.25" customHeight="1">
      <c r="A10" s="170" t="s">
        <v>76</v>
      </c>
      <c r="B10" s="171">
        <v>30</v>
      </c>
      <c r="C10" s="173">
        <f>24/PI()*ACOS(-TAN(RADIANS(輸入!$B$5))*TAN(RADIANS(23.45*SIN(RADIANS(360*(284+258)/365)))))</f>
        <v>12.304188774702085</v>
      </c>
      <c r="D10" s="173">
        <f t="shared" si="0"/>
        <v>11.695811225297915</v>
      </c>
      <c r="E10" s="173">
        <f>INDEX(氣象查表!$C$2:$N$21,MATCH(輸入!$B$2,氣象查表!$B$2:$B$21,0),9)+INDEX(氣象查表!$O$2:$O$21,MATCH(輸入!$B$2,氣象查表!$B$2:$B$21,0))</f>
        <v>18.7</v>
      </c>
      <c r="F10" s="173">
        <f>INDEX(氣象查表!$C$2:$N$21,MATCH(輸入!$B$2,氣象查表!$B$2:$B$21,0),9)+INDEX(氣象查表!$P$2:$P$21,MATCH(輸入!$B$2,氣象查表!$B$2:$B$21,0))</f>
        <v>9.1999999999999993</v>
      </c>
      <c r="G10" s="42">
        <f>MAX(0,輸入!$B$3-E10)</f>
        <v>6.3000000000000007</v>
      </c>
      <c r="H10" s="42">
        <f>MAX(0,輸入!$B$4-F10)</f>
        <v>10.8</v>
      </c>
      <c r="I10" s="41">
        <f>輸入!$B$17*G10*C10*B10/1000</f>
        <v>28464.01814384482</v>
      </c>
      <c r="J10" s="41">
        <f>輸入!$B$17*H10*D10*B10/1000</f>
        <v>46382.780324837462</v>
      </c>
      <c r="K10" s="43">
        <f>I10*輸入!$E$2</f>
        <v>1423.2009071922412</v>
      </c>
      <c r="L10" s="43">
        <f t="shared" si="1"/>
        <v>27040.81723665258</v>
      </c>
      <c r="M10" s="43">
        <f t="shared" si="2"/>
        <v>46382.780324837462</v>
      </c>
      <c r="N10" s="43">
        <f>L10*輸入!$E$3</f>
        <v>15451.895563801461</v>
      </c>
      <c r="O10" s="43">
        <f>L10*輸入!$E$4</f>
        <v>10236.880811018489</v>
      </c>
      <c r="P10" s="43">
        <f>M10*輸入!$E$12</f>
        <v>27899.416736744315</v>
      </c>
      <c r="Q10" s="43">
        <f>M10*輸入!$E$13</f>
        <v>18483.363588093147</v>
      </c>
      <c r="R10" s="44">
        <f>輸入!$T$5</f>
        <v>3.8</v>
      </c>
      <c r="S10" s="44">
        <f>MAX(R10*輸入!$E$17,MIN(R10*輸入!$E$16,R10+輸入!$E$15*(E10-輸入!$E$14)))</f>
        <v>4.5599999999999996</v>
      </c>
      <c r="T10" s="44">
        <f>MAX(R10*輸入!$E$17,MIN(R10*輸入!$E$16,R10+輸入!$E$15*(F10-輸入!$E$14)))</f>
        <v>3.9924999999999997</v>
      </c>
      <c r="U10" s="43">
        <f t="shared" si="3"/>
        <v>10376.530191369313</v>
      </c>
      <c r="V10" s="43">
        <f>IFERROR((O10+Q10)/輸入!$S$5,0)</f>
        <v>31911.382665679597</v>
      </c>
      <c r="W10" s="43">
        <f>IFERROR(N10/S10,0)*輸入!$E$5+IFERROR(P10/T10,0)*輸入!$E$6</f>
        <v>29329.899066976232</v>
      </c>
      <c r="X10" s="43">
        <f>V10*輸入!$E$8</f>
        <v>51366.410729464245</v>
      </c>
      <c r="Y10" s="43">
        <f t="shared" si="4"/>
        <v>80696.309796440473</v>
      </c>
      <c r="Z10" s="161">
        <f>輸入!$S$3</f>
        <v>0.9</v>
      </c>
      <c r="AA10" s="162">
        <f>IFERROR((L10+M10)/Z10,0)</f>
        <v>81581.775068322269</v>
      </c>
      <c r="AB10" s="162">
        <f>AA10*輸入!$E$8</f>
        <v>131318.75262506629</v>
      </c>
      <c r="AC10" s="162">
        <f>AA10*輸入!$E$9</f>
        <v>16479.518563801099</v>
      </c>
      <c r="AD10" s="162">
        <f t="shared" si="6"/>
        <v>16479.518563801099</v>
      </c>
      <c r="AE10" s="45">
        <f>輸入!$T$4</f>
        <v>4.0142857142857142</v>
      </c>
      <c r="AF10" s="45">
        <f>MAX(AE10*輸入!$E$17,MIN(AE10*輸入!$E$16,AE10+輸入!$E$15*(E10-輸入!$E$14)))</f>
        <v>4.8171428571428567</v>
      </c>
      <c r="AG10" s="45">
        <f>MAX(AE10*輸入!$E$17,MIN(AE10*輸入!$E$16,AE10+輸入!$E$15*(F10-輸入!$E$14)))</f>
        <v>4.2067857142857141</v>
      </c>
      <c r="AH10" s="46">
        <f>IFERROR(L10/AF10,0)+IFERROR(M10/AG10,0)</f>
        <v>16639.161020632273</v>
      </c>
      <c r="AI10" s="46">
        <f>IFERROR(L10/AF10,0)*輸入!$E$5+IFERROR(M10/AG10,0)*輸入!$E$6</f>
        <v>47211.358087066095</v>
      </c>
      <c r="AJ10" s="46">
        <f>AH10*輸入!$B$6</f>
        <v>10815.454663410977</v>
      </c>
      <c r="AK10" s="46">
        <f t="shared" si="8"/>
        <v>10815.454663410977</v>
      </c>
      <c r="AL10" s="47">
        <f>輸入!$T$5</f>
        <v>3.8</v>
      </c>
      <c r="AM10" s="47">
        <f t="shared" si="9"/>
        <v>4.5599999999999996</v>
      </c>
      <c r="AN10" s="47">
        <f t="shared" si="10"/>
        <v>3.9924999999999997</v>
      </c>
      <c r="AO10" s="48">
        <f t="shared" si="11"/>
        <v>10376.530191369313</v>
      </c>
      <c r="AP10" s="48">
        <f>AO10*輸入!$B$6</f>
        <v>6744.744624390054</v>
      </c>
      <c r="AQ10" s="48">
        <f>V10*輸入!$E$9</f>
        <v>6446.0992984672794</v>
      </c>
      <c r="AR10" s="48">
        <f t="shared" si="12"/>
        <v>13190.843922857333</v>
      </c>
      <c r="AS10" s="49">
        <f t="shared" si="13"/>
        <v>25418.368202453443</v>
      </c>
      <c r="AT10" s="166">
        <f t="shared" si="20"/>
        <v>0.98947368421052706</v>
      </c>
      <c r="AU10" s="49">
        <f t="shared" si="14"/>
        <v>270.40817236650804</v>
      </c>
      <c r="AV10" s="166">
        <f t="shared" si="21"/>
        <v>1.0526315789472994E-2</v>
      </c>
      <c r="AW10" s="49">
        <f t="shared" si="15"/>
        <v>45894.540531944469</v>
      </c>
      <c r="AX10" s="166">
        <f t="shared" si="22"/>
        <v>0.98947368421052706</v>
      </c>
      <c r="AY10" s="49">
        <f t="shared" si="16"/>
        <v>488.23979289299388</v>
      </c>
      <c r="AZ10" s="166">
        <f t="shared" si="23"/>
        <v>1.0526315789472994E-2</v>
      </c>
      <c r="BA10" s="50">
        <f>輸入!$T$6</f>
        <v>4</v>
      </c>
      <c r="BB10" s="50">
        <f>MAX(BA10*輸入!$E$17,MIN(BA10*輸入!$E$16,BA10+輸入!$E$15*(E10-輸入!$E$14)))</f>
        <v>4.8</v>
      </c>
      <c r="BC10" s="50">
        <f>MAX(BA10*輸入!$E$17,MIN(BA10*輸入!$E$16,BA10+輸入!$E$15*(F10-輸入!$E$14)))</f>
        <v>4.1924999999999999</v>
      </c>
      <c r="BD10" s="49">
        <f t="shared" si="17"/>
        <v>16242.31282260582</v>
      </c>
      <c r="BE10" s="29">
        <f>IFERROR((AU10+AY10)/輸入!$S$6,0)</f>
        <v>862.09996052216127</v>
      </c>
      <c r="BF10" s="29">
        <f>IFERROR(AS10/BB10,0)*輸入!$E$5+IFERROR(AW10/BC10,0)*輸入!$E$6</f>
        <v>45901.275432025679</v>
      </c>
      <c r="BG10" s="29">
        <f>BE10*輸入!$E$8</f>
        <v>1387.6860531543871</v>
      </c>
      <c r="BH10" s="29">
        <f t="shared" si="18"/>
        <v>47288.961485180065</v>
      </c>
      <c r="BI10" s="29">
        <f>BD10*輸入!$B$6</f>
        <v>10557.503334693783</v>
      </c>
      <c r="BJ10" s="29">
        <f>BE10*輸入!$E$9</f>
        <v>174.1441920254766</v>
      </c>
      <c r="BK10" s="29">
        <f t="shared" si="19"/>
        <v>10731.64752671926</v>
      </c>
      <c r="BL10" s="59"/>
      <c r="BM10" s="60"/>
      <c r="BN10" s="60"/>
      <c r="BO10" s="53"/>
      <c r="BP10" s="53"/>
      <c r="BQ10" s="53"/>
      <c r="BR10" s="53"/>
      <c r="BS10" s="53"/>
      <c r="BT10" s="53"/>
      <c r="BU10" s="53"/>
      <c r="BV10" s="53"/>
      <c r="BW10" s="55"/>
      <c r="BX10" s="55"/>
      <c r="BY10" s="55"/>
      <c r="BZ10" s="55"/>
      <c r="CA10" s="55"/>
      <c r="CB10" s="56"/>
      <c r="CC10" s="56"/>
      <c r="CD10" s="57"/>
      <c r="CE10" s="57"/>
      <c r="CF10" s="57"/>
      <c r="CG10" s="57"/>
      <c r="CH10" s="57"/>
      <c r="CI10" s="57"/>
      <c r="CJ10" s="57"/>
      <c r="CK10" s="57"/>
      <c r="CL10" s="58">
        <v>8</v>
      </c>
      <c r="CM10" s="58">
        <f>IF(CL10=0,-$BH$4,IF(CL10&lt;=輸入!$E$19,$BH$2,""))</f>
        <v>438529.77515855734</v>
      </c>
      <c r="CN10" s="56">
        <f>IF(CL10=0,-$BI$4,IF(CL10&lt;=輸入!$E$19,$BI$2,""))</f>
        <v>99388.526164888739</v>
      </c>
      <c r="CO10" s="56">
        <f>IF(CL10=0,-$BJ$4,IF(CL10&lt;=輸入!$E$19,$BJ$2,""))</f>
        <v>896.13817669868433</v>
      </c>
      <c r="CP10" s="56">
        <f>IF(CL10=0,-$BK$4,IF(CL10&lt;=輸入!$E$19,$BK$2,""))</f>
        <v>100284.66434158743</v>
      </c>
      <c r="CX10" s="39">
        <f t="shared" si="24"/>
        <v>0.08</v>
      </c>
      <c r="CY10" s="39">
        <f>1-輸入!$E$2-CX10</f>
        <v>0.87</v>
      </c>
      <c r="CZ10" s="40">
        <f>IF(OR(CX10&lt;0,CY10&lt;0,CX10&gt;1-輸入!$E$2),"",IF(1-輸入!$E$2=0,0,SUMPRODUCT($L$2:$L$13*CX10/$BB$2:$BB$13)*輸入!$E$5+SUMPRODUCT($M$2:$M$13*CX10/(1-輸入!$E$2)/$BC$2:$BC$13)*輸入!$E$6+SUMPRODUCT((($L$2:$L$13*CY10)+($M$2:$M$13*CY10/(1-輸入!$E$2)))/輸入!$S$6)*輸入!$E$8))</f>
        <v>3492233.2004762851</v>
      </c>
    </row>
    <row r="11" spans="1:107" s="2" customFormat="1" ht="16.5" customHeight="1">
      <c r="A11" s="170" t="s">
        <v>77</v>
      </c>
      <c r="B11" s="171">
        <v>31</v>
      </c>
      <c r="C11" s="173">
        <f>24/PI()*ACOS(-TAN(RADIANS(輸入!$B$5))*TAN(RADIANS(23.45*SIN(RADIANS(360*(284+288)/365)))))</f>
        <v>10.664584266349797</v>
      </c>
      <c r="D11" s="173">
        <f t="shared" si="0"/>
        <v>13.335415733650203</v>
      </c>
      <c r="E11" s="173">
        <f>INDEX(氣象查表!$C$2:$N$21,MATCH(輸入!$B$2,氣象查表!$B$2:$B$21,0),10)+INDEX(氣象查表!$O$2:$O$21,MATCH(輸入!$B$2,氣象查表!$B$2:$B$21,0))</f>
        <v>9.8000000000000007</v>
      </c>
      <c r="F11" s="173">
        <f>INDEX(氣象查表!$C$2:$N$21,MATCH(輸入!$B$2,氣象查表!$B$2:$B$21,0),10)+INDEX(氣象查表!$P$2:$P$21,MATCH(輸入!$B$2,氣象查表!$B$2:$B$21,0))</f>
        <v>0.29999999999999982</v>
      </c>
      <c r="G11" s="42">
        <f>MAX(0,輸入!$B$3-E11)</f>
        <v>15.2</v>
      </c>
      <c r="H11" s="42">
        <f>MAX(0,輸入!$B$4-F11)</f>
        <v>19.7</v>
      </c>
      <c r="I11" s="41">
        <f>輸入!$B$17*G11*C11*B11/1000</f>
        <v>61507.861781161257</v>
      </c>
      <c r="J11" s="41">
        <f>輸入!$B$17*H11*D11*B11/1000</f>
        <v>99681.805875731792</v>
      </c>
      <c r="K11" s="43">
        <f>I11*輸入!$E$2</f>
        <v>3075.3930890580632</v>
      </c>
      <c r="L11" s="43">
        <f t="shared" si="1"/>
        <v>58432.468692103197</v>
      </c>
      <c r="M11" s="43">
        <f t="shared" si="2"/>
        <v>99681.805875731792</v>
      </c>
      <c r="N11" s="43">
        <f>L11*輸入!$E$3</f>
        <v>33389.982109773227</v>
      </c>
      <c r="O11" s="43">
        <f>L11*輸入!$E$4</f>
        <v>22120.863147724805</v>
      </c>
      <c r="P11" s="43">
        <f>M11*輸入!$E$12</f>
        <v>59958.980977883737</v>
      </c>
      <c r="Q11" s="43">
        <f>M11*輸入!$E$13</f>
        <v>39722.824897848055</v>
      </c>
      <c r="R11" s="44">
        <f>輸入!$T$5</f>
        <v>3.8</v>
      </c>
      <c r="S11" s="44">
        <f>MAX(R11*輸入!$E$17,MIN(R11*輸入!$E$16,R11+輸入!$E$15*(E11-輸入!$E$14)))</f>
        <v>4.0449999999999999</v>
      </c>
      <c r="T11" s="44">
        <f>MAX(R11*輸入!$E$17,MIN(R11*輸入!$E$16,R11+輸入!$E$15*(F11-輸入!$E$14)))</f>
        <v>3.2137500000000001</v>
      </c>
      <c r="U11" s="43">
        <f t="shared" si="3"/>
        <v>26911.645625055229</v>
      </c>
      <c r="V11" s="43">
        <f>IFERROR((O11+Q11)/輸入!$S$5,0)</f>
        <v>68715.208939525401</v>
      </c>
      <c r="W11" s="43">
        <f>IFERROR(N11/S11,0)*輸入!$E$5+IFERROR(P11/T11,0)*輸入!$E$6</f>
        <v>75533.744992124659</v>
      </c>
      <c r="X11" s="43">
        <f>V11*輸入!$E$8</f>
        <v>110607.98219641938</v>
      </c>
      <c r="Y11" s="43">
        <f t="shared" si="4"/>
        <v>186141.72718854406</v>
      </c>
      <c r="Z11" s="161">
        <f>輸入!$S$3</f>
        <v>0.9</v>
      </c>
      <c r="AA11" s="162">
        <f>IFERROR((L11+M11)/Z11,0)</f>
        <v>175682.52729759441</v>
      </c>
      <c r="AB11" s="162">
        <f>AA11*輸入!$E$8</f>
        <v>282788.77633415657</v>
      </c>
      <c r="AC11" s="162">
        <f>AA11*輸入!$E$9</f>
        <v>35487.870514114074</v>
      </c>
      <c r="AD11" s="162">
        <f t="shared" si="6"/>
        <v>35487.870514114074</v>
      </c>
      <c r="AE11" s="45">
        <f>輸入!$T$4</f>
        <v>4.0142857142857142</v>
      </c>
      <c r="AF11" s="45">
        <f>MAX(AE11*輸入!$E$17,MIN(AE11*輸入!$E$16,AE11+輸入!$E$15*(E11-輸入!$E$14)))</f>
        <v>4.2592857142857143</v>
      </c>
      <c r="AG11" s="45">
        <f>MAX(AE11*輸入!$E$17,MIN(AE11*輸入!$E$16,AE11+輸入!$E$15*(F11-輸入!$E$14)))</f>
        <v>3.4280357142857145</v>
      </c>
      <c r="AH11" s="46">
        <f>IFERROR(L11/AF11,0)+IFERROR(M11/AG11,0)</f>
        <v>42797.245769501635</v>
      </c>
      <c r="AI11" s="46">
        <f>IFERROR(L11/AF11,0)*輸入!$E$5+IFERROR(M11/AG11,0)*輸入!$E$6</f>
        <v>120711.95664561295</v>
      </c>
      <c r="AJ11" s="46">
        <f>AH11*輸入!$B$6</f>
        <v>27818.209750176062</v>
      </c>
      <c r="AK11" s="46">
        <f t="shared" si="8"/>
        <v>27818.209750176062</v>
      </c>
      <c r="AL11" s="47">
        <f>輸入!$T$5</f>
        <v>3.8</v>
      </c>
      <c r="AM11" s="47">
        <f t="shared" si="9"/>
        <v>4.0449999999999999</v>
      </c>
      <c r="AN11" s="47">
        <f t="shared" si="10"/>
        <v>3.2137500000000001</v>
      </c>
      <c r="AO11" s="48">
        <f t="shared" si="11"/>
        <v>26911.645625055229</v>
      </c>
      <c r="AP11" s="48">
        <f>AO11*輸入!$B$6</f>
        <v>17492.569656285901</v>
      </c>
      <c r="AQ11" s="48">
        <f>V11*輸入!$E$9</f>
        <v>13880.472205784132</v>
      </c>
      <c r="AR11" s="48">
        <f t="shared" si="12"/>
        <v>31373.041862070033</v>
      </c>
      <c r="AS11" s="49">
        <f t="shared" si="13"/>
        <v>54926.520570577042</v>
      </c>
      <c r="AT11" s="166">
        <f t="shared" si="20"/>
        <v>0.98947368421052706</v>
      </c>
      <c r="AU11" s="49">
        <f t="shared" si="14"/>
        <v>584.3246869209936</v>
      </c>
      <c r="AV11" s="166">
        <f t="shared" si="21"/>
        <v>1.0526315789472994E-2</v>
      </c>
      <c r="AW11" s="49">
        <f t="shared" si="15"/>
        <v>98632.523708618901</v>
      </c>
      <c r="AX11" s="166">
        <f t="shared" si="22"/>
        <v>0.98947368421052706</v>
      </c>
      <c r="AY11" s="49">
        <f t="shared" si="16"/>
        <v>1049.2821671128975</v>
      </c>
      <c r="AZ11" s="166">
        <f t="shared" si="23"/>
        <v>1.0526315789472994E-2</v>
      </c>
      <c r="BA11" s="50">
        <f>輸入!$T$6</f>
        <v>4</v>
      </c>
      <c r="BB11" s="50">
        <f>MAX(BA11*輸入!$E$17,MIN(BA11*輸入!$E$16,BA11+輸入!$E$15*(E11-輸入!$E$14)))</f>
        <v>4.2450000000000001</v>
      </c>
      <c r="BC11" s="50">
        <f>MAX(BA11*輸入!$E$17,MIN(BA11*輸入!$E$16,BA11+輸入!$E$15*(F11-輸入!$E$14)))</f>
        <v>3.4137500000000003</v>
      </c>
      <c r="BD11" s="49">
        <f t="shared" si="17"/>
        <v>41831.829911918743</v>
      </c>
      <c r="BE11" s="29">
        <f>IFERROR((AU11+AY11)/輸入!$S$6,0)</f>
        <v>1856.3714250385126</v>
      </c>
      <c r="BF11" s="29">
        <f>IFERROR(AS11/BB11,0)*輸入!$E$5+IFERROR(AW11/BC11,0)*輸入!$E$6</f>
        <v>117518.68445484446</v>
      </c>
      <c r="BG11" s="29">
        <f>BE11*輸入!$E$8</f>
        <v>2988.1230181706501</v>
      </c>
      <c r="BH11" s="29">
        <f t="shared" si="18"/>
        <v>120506.80747301511</v>
      </c>
      <c r="BI11" s="29">
        <f>BD11*輸入!$B$6</f>
        <v>27190.689442747185</v>
      </c>
      <c r="BJ11" s="29">
        <f>BE11*輸入!$E$9</f>
        <v>374.98702785777959</v>
      </c>
      <c r="BK11" s="29">
        <f t="shared" si="19"/>
        <v>27565.676470604965</v>
      </c>
      <c r="BL11" s="59"/>
      <c r="BM11" s="62"/>
      <c r="BN11" s="62"/>
      <c r="BO11" s="53"/>
      <c r="BP11" s="53"/>
      <c r="BQ11" s="53"/>
      <c r="BR11" s="53"/>
      <c r="BS11" s="53"/>
      <c r="BT11" s="53"/>
      <c r="BU11" s="53"/>
      <c r="BV11" s="53"/>
      <c r="BW11" s="55"/>
      <c r="BX11" s="55"/>
      <c r="BY11" s="55"/>
      <c r="BZ11" s="55"/>
      <c r="CA11" s="55"/>
      <c r="CB11" s="56"/>
      <c r="CC11" s="56"/>
      <c r="CD11" s="57"/>
      <c r="CE11" s="57"/>
      <c r="CF11" s="57"/>
      <c r="CG11" s="57"/>
      <c r="CH11" s="57"/>
      <c r="CI11" s="57"/>
      <c r="CJ11" s="57"/>
      <c r="CK11" s="57"/>
      <c r="CL11" s="58">
        <v>9</v>
      </c>
      <c r="CM11" s="58">
        <f>IF(CL11=0,-$BH$4,IF(CL11&lt;=輸入!$E$19,$BH$2,""))</f>
        <v>438529.77515855734</v>
      </c>
      <c r="CN11" s="56">
        <f>IF(CL11=0,-$BI$4,IF(CL11&lt;=輸入!$E$19,$BI$2,""))</f>
        <v>99388.526164888739</v>
      </c>
      <c r="CO11" s="56">
        <f>IF(CL11=0,-$BJ$4,IF(CL11&lt;=輸入!$E$19,$BJ$2,""))</f>
        <v>896.13817669868433</v>
      </c>
      <c r="CP11" s="56">
        <f>IF(CL11=0,-$BK$4,IF(CL11&lt;=輸入!$E$19,$BK$2,""))</f>
        <v>100284.66434158743</v>
      </c>
      <c r="CX11" s="39">
        <f t="shared" si="24"/>
        <v>0.09</v>
      </c>
      <c r="CY11" s="39">
        <f>1-輸入!$E$2-CX11</f>
        <v>0.86</v>
      </c>
      <c r="CZ11" s="40">
        <f>IF(OR(CX11&lt;0,CY11&lt;0,CX11&gt;1-輸入!$E$2),"",IF(1-輸入!$E$2=0,0,SUMPRODUCT($L$2:$L$13*CX11/$BB$2:$BB$13)*輸入!$E$5+SUMPRODUCT($M$2:$M$13*CX11/(1-輸入!$E$2)/$BC$2:$BC$13)*輸入!$E$6+SUMPRODUCT((($L$2:$L$13*CY11)+($M$2:$M$13*CY11/(1-輸入!$E$2)))/輸入!$S$6)*輸入!$E$8))</f>
        <v>3475347.7705141413</v>
      </c>
    </row>
    <row r="12" spans="1:107" s="2" customFormat="1" ht="16.5" customHeight="1">
      <c r="A12" s="170" t="s">
        <v>78</v>
      </c>
      <c r="B12" s="171">
        <v>30</v>
      </c>
      <c r="C12" s="173">
        <f>24/PI()*ACOS(-TAN(RADIANS(輸入!$B$5))*TAN(RADIANS(23.45*SIN(RADIANS(360*(284+319)/365)))))</f>
        <v>9.2107817269280599</v>
      </c>
      <c r="D12" s="173">
        <f t="shared" si="0"/>
        <v>14.78921827307194</v>
      </c>
      <c r="E12" s="173">
        <f>INDEX(氣象查表!$C$2:$N$21,MATCH(輸入!$B$2,氣象查表!$B$2:$B$21,0),11)+INDEX(氣象查表!$O$2:$O$21,MATCH(輸入!$B$2,氣象查表!$B$2:$B$21,0))</f>
        <v>-1.7999999999999998</v>
      </c>
      <c r="F12" s="173">
        <f>INDEX(氣象查表!$C$2:$N$21,MATCH(輸入!$B$2,氣象查表!$B$2:$B$21,0),11)+INDEX(氣象查表!$P$2:$P$21,MATCH(輸入!$B$2,氣象查表!$B$2:$B$21,0))</f>
        <v>-11.3</v>
      </c>
      <c r="G12" s="42">
        <f>MAX(0,輸入!$B$3-E12)</f>
        <v>26.8</v>
      </c>
      <c r="H12" s="42">
        <f>MAX(0,輸入!$B$4-F12)</f>
        <v>31.3</v>
      </c>
      <c r="I12" s="41">
        <f>輸入!$B$17*G12*C12*B12/1000</f>
        <v>90642.934543429961</v>
      </c>
      <c r="J12" s="41">
        <f>輸入!$B$17*H12*D12*B12/1000</f>
        <v>169977.80973099411</v>
      </c>
      <c r="K12" s="43">
        <f>I12*輸入!$E$2</f>
        <v>4532.1467271714982</v>
      </c>
      <c r="L12" s="43">
        <f t="shared" si="1"/>
        <v>86110.787816258468</v>
      </c>
      <c r="M12" s="43">
        <f t="shared" si="2"/>
        <v>169977.80973099411</v>
      </c>
      <c r="N12" s="43">
        <f>L12*輸入!$E$3</f>
        <v>49206.164466433373</v>
      </c>
      <c r="O12" s="43">
        <f>L12*輸入!$E$4</f>
        <v>32599.083959012172</v>
      </c>
      <c r="P12" s="43">
        <f>M12*輸入!$E$12</f>
        <v>102242.29156751517</v>
      </c>
      <c r="Q12" s="43">
        <f>M12*輸入!$E$13</f>
        <v>67735.518163478933</v>
      </c>
      <c r="R12" s="44">
        <f>輸入!$T$5</f>
        <v>3.8</v>
      </c>
      <c r="S12" s="44">
        <f>MAX(R12*輸入!$E$17,MIN(R12*輸入!$E$16,R12+輸入!$E$15*(E12-輸入!$E$14)))</f>
        <v>3.03</v>
      </c>
      <c r="T12" s="44">
        <f>MAX(R12*輸入!$E$17,MIN(R12*輸入!$E$16,R12+輸入!$E$15*(F12-輸入!$E$14)))</f>
        <v>2.2799999999999998</v>
      </c>
      <c r="U12" s="43">
        <f t="shared" si="3"/>
        <v>61082.768576376453</v>
      </c>
      <c r="V12" s="43">
        <f>IFERROR((O12+Q12)/輸入!$S$5,0)</f>
        <v>111482.89124721233</v>
      </c>
      <c r="W12" s="43">
        <f>IFERROR(N12/S12,0)*輸入!$E$5+IFERROR(P12/T12,0)*輸入!$E$6</f>
        <v>168946.57968068813</v>
      </c>
      <c r="X12" s="43">
        <f>V12*輸入!$E$8</f>
        <v>179449.32192710272</v>
      </c>
      <c r="Y12" s="43">
        <f t="shared" si="4"/>
        <v>348395.90160779085</v>
      </c>
      <c r="Z12" s="161">
        <f>輸入!$S$3</f>
        <v>0.9</v>
      </c>
      <c r="AA12" s="162">
        <f>IFERROR((L12+M12)/Z12,0)</f>
        <v>284542.88616361399</v>
      </c>
      <c r="AB12" s="162">
        <f>AA12*輸入!$E$8</f>
        <v>458016.71817080816</v>
      </c>
      <c r="AC12" s="162">
        <f>AA12*輸入!$E$9</f>
        <v>57477.663005050032</v>
      </c>
      <c r="AD12" s="162">
        <f t="shared" si="6"/>
        <v>57477.663005050032</v>
      </c>
      <c r="AE12" s="45">
        <f>輸入!$T$4</f>
        <v>4.0142857142857142</v>
      </c>
      <c r="AF12" s="45">
        <f>MAX(AE12*輸入!$E$17,MIN(AE12*輸入!$E$16,AE12+輸入!$E$15*(E12-輸入!$E$14)))</f>
        <v>3.2442857142857142</v>
      </c>
      <c r="AG12" s="45">
        <f>MAX(AE12*輸入!$E$17,MIN(AE12*輸入!$E$16,AE12+輸入!$E$15*(F12-輸入!$E$14)))</f>
        <v>2.413035714285714</v>
      </c>
      <c r="AH12" s="46">
        <f>IFERROR(L12/AF12,0)+IFERROR(M12/AG12,0)</f>
        <v>96983.775920255968</v>
      </c>
      <c r="AI12" s="46">
        <f>IFERROR(L12/AF12,0)*輸入!$E$5+IFERROR(M12/AG12,0)*輸入!$E$6</f>
        <v>269001.73459208902</v>
      </c>
      <c r="AJ12" s="46">
        <f>AH12*輸入!$B$6</f>
        <v>63039.454348166379</v>
      </c>
      <c r="AK12" s="46">
        <f t="shared" si="8"/>
        <v>63039.454348166379</v>
      </c>
      <c r="AL12" s="47">
        <f>輸入!$T$5</f>
        <v>3.8</v>
      </c>
      <c r="AM12" s="47">
        <f t="shared" si="9"/>
        <v>3.03</v>
      </c>
      <c r="AN12" s="47">
        <f t="shared" si="10"/>
        <v>2.2799999999999998</v>
      </c>
      <c r="AO12" s="48">
        <f t="shared" si="11"/>
        <v>61082.768576376453</v>
      </c>
      <c r="AP12" s="48">
        <f>AO12*輸入!$B$6</f>
        <v>39703.799574644698</v>
      </c>
      <c r="AQ12" s="48">
        <f>V12*輸入!$E$9</f>
        <v>22519.544031936894</v>
      </c>
      <c r="AR12" s="48">
        <f t="shared" si="12"/>
        <v>62223.343606581591</v>
      </c>
      <c r="AS12" s="49">
        <f t="shared" si="13"/>
        <v>80944.140547283008</v>
      </c>
      <c r="AT12" s="166">
        <f t="shared" si="20"/>
        <v>0.98947368421052706</v>
      </c>
      <c r="AU12" s="49">
        <f t="shared" si="14"/>
        <v>861.1078781625281</v>
      </c>
      <c r="AV12" s="166">
        <f t="shared" si="21"/>
        <v>1.0526315789472994E-2</v>
      </c>
      <c r="AW12" s="49">
        <f t="shared" si="15"/>
        <v>168188.56962856272</v>
      </c>
      <c r="AX12" s="166">
        <f t="shared" si="22"/>
        <v>0.98947368421052706</v>
      </c>
      <c r="AY12" s="49">
        <f t="shared" si="16"/>
        <v>1789.2401024313995</v>
      </c>
      <c r="AZ12" s="166">
        <f t="shared" si="23"/>
        <v>1.0526315789472994E-2</v>
      </c>
      <c r="BA12" s="50">
        <f>輸入!$T$6</f>
        <v>4</v>
      </c>
      <c r="BB12" s="50">
        <f>MAX(BA12*輸入!$E$17,MIN(BA12*輸入!$E$16,BA12+輸入!$E$15*(E12-輸入!$E$14)))</f>
        <v>3.23</v>
      </c>
      <c r="BC12" s="50">
        <f>MAX(BA12*輸入!$E$17,MIN(BA12*輸入!$E$16,BA12+輸入!$E$15*(F12-輸入!$E$14)))</f>
        <v>2.4</v>
      </c>
      <c r="BD12" s="49">
        <f t="shared" si="17"/>
        <v>95138.676111163164</v>
      </c>
      <c r="BE12" s="29">
        <f>IFERROR((AU12+AY12)/輸入!$S$6,0)</f>
        <v>3011.7590688567361</v>
      </c>
      <c r="BF12" s="29">
        <f>IFERROR(AS12/BB12,0)*輸入!$E$5+IFERROR(AW12/BC12,0)*輸入!$E$6</f>
        <v>262906.79571050324</v>
      </c>
      <c r="BG12" s="29">
        <f>BE12*輸入!$E$8</f>
        <v>4847.9019217009936</v>
      </c>
      <c r="BH12" s="29">
        <f t="shared" si="18"/>
        <v>267754.69763220422</v>
      </c>
      <c r="BI12" s="29">
        <f>BD12*輸入!$B$6</f>
        <v>61840.139472256058</v>
      </c>
      <c r="BJ12" s="29">
        <f>BE12*輸入!$E$9</f>
        <v>608.37533190906072</v>
      </c>
      <c r="BK12" s="29">
        <f t="shared" si="19"/>
        <v>62448.514804165119</v>
      </c>
      <c r="BL12" s="59"/>
      <c r="BM12" s="62"/>
      <c r="BN12" s="62"/>
      <c r="BO12" s="53"/>
      <c r="BP12" s="53"/>
      <c r="BQ12" s="53"/>
      <c r="BR12" s="53"/>
      <c r="BS12" s="53"/>
      <c r="BT12" s="53"/>
      <c r="BU12" s="53"/>
      <c r="BV12" s="53"/>
      <c r="BW12" s="55"/>
      <c r="BX12" s="55"/>
      <c r="BY12" s="55"/>
      <c r="BZ12" s="55"/>
      <c r="CA12" s="55"/>
      <c r="CB12" s="56"/>
      <c r="CC12" s="56"/>
      <c r="CD12" s="57"/>
      <c r="CE12" s="57"/>
      <c r="CF12" s="57"/>
      <c r="CG12" s="57"/>
      <c r="CH12" s="57"/>
      <c r="CI12" s="57"/>
      <c r="CJ12" s="57"/>
      <c r="CK12" s="57"/>
      <c r="CL12" s="58">
        <v>10</v>
      </c>
      <c r="CM12" s="58">
        <f>IF(CL12=0,-$BH$4,IF(CL12&lt;=輸入!$E$19,$BH$2,""))</f>
        <v>438529.77515855734</v>
      </c>
      <c r="CN12" s="56">
        <f>IF(CL12=0,-$BI$4,IF(CL12&lt;=輸入!$E$19,$BI$2,""))</f>
        <v>99388.526164888739</v>
      </c>
      <c r="CO12" s="56">
        <f>IF(CL12=0,-$BJ$4,IF(CL12&lt;=輸入!$E$19,$BJ$2,""))</f>
        <v>896.13817669868433</v>
      </c>
      <c r="CP12" s="56">
        <f>IF(CL12=0,-$BK$4,IF(CL12&lt;=輸入!$E$19,$BK$2,""))</f>
        <v>100284.66434158743</v>
      </c>
      <c r="CX12" s="39">
        <f t="shared" si="24"/>
        <v>9.9999999999999992E-2</v>
      </c>
      <c r="CY12" s="39">
        <f>1-輸入!$E$2-CX12</f>
        <v>0.85</v>
      </c>
      <c r="CZ12" s="40">
        <f>IF(OR(CX12&lt;0,CY12&lt;0,CX12&gt;1-輸入!$E$2),"",IF(1-輸入!$E$2=0,0,SUMPRODUCT($L$2:$L$13*CX12/$BB$2:$BB$13)*輸入!$E$5+SUMPRODUCT($M$2:$M$13*CX12/(1-輸入!$E$2)/$BC$2:$BC$13)*輸入!$E$6+SUMPRODUCT((($L$2:$L$13*CY12)+($M$2:$M$13*CY12/(1-輸入!$E$2)))/輸入!$S$6)*輸入!$E$8))</f>
        <v>3458462.3405519989</v>
      </c>
    </row>
    <row r="13" spans="1:107" s="2" customFormat="1" ht="16.5" customHeight="1">
      <c r="A13" s="170" t="s">
        <v>79</v>
      </c>
      <c r="B13" s="171">
        <v>31</v>
      </c>
      <c r="C13" s="173">
        <f>24/PI()*ACOS(-TAN(RADIANS(輸入!$B$5))*TAN(RADIANS(23.45*SIN(RADIANS(360*(284+349)/365)))))</f>
        <v>8.4886967693202315</v>
      </c>
      <c r="D13" s="173">
        <f t="shared" si="0"/>
        <v>15.511303230679768</v>
      </c>
      <c r="E13" s="173">
        <f>INDEX(氣象查表!$C$2:$N$21,MATCH(輸入!$B$2,氣象查表!$B$2:$B$21,0),12)+INDEX(氣象查表!$O$2:$O$21,MATCH(輸入!$B$2,氣象查表!$B$2:$B$21,0))</f>
        <v>-10.9</v>
      </c>
      <c r="F13" s="173">
        <f>INDEX(氣象查表!$C$2:$N$21,MATCH(輸入!$B$2,氣象查表!$B$2:$B$21,0),12)+INDEX(氣象查表!$P$2:$P$21,MATCH(輸入!$B$2,氣象查表!$B$2:$B$21,0))</f>
        <v>-20.399999999999999</v>
      </c>
      <c r="G13" s="42">
        <f>MAX(0,輸入!$B$3-E13)</f>
        <v>35.9</v>
      </c>
      <c r="H13" s="42">
        <f>MAX(0,輸入!$B$4-F13)</f>
        <v>40.4</v>
      </c>
      <c r="I13" s="41">
        <f>輸入!$B$17*G13*C13*B13/1000</f>
        <v>115632.14456721619</v>
      </c>
      <c r="J13" s="41">
        <f>輸入!$B$17*H13*D13*B13/1000</f>
        <v>237778.5994731049</v>
      </c>
      <c r="K13" s="43">
        <f>I13*輸入!$E$2</f>
        <v>5781.60722836081</v>
      </c>
      <c r="L13" s="43">
        <f t="shared" si="1"/>
        <v>109850.53733885539</v>
      </c>
      <c r="M13" s="43">
        <f t="shared" si="2"/>
        <v>237778.5994731049</v>
      </c>
      <c r="N13" s="43">
        <f>L13*輸入!$E$3</f>
        <v>62771.735622203028</v>
      </c>
      <c r="O13" s="43">
        <f>L13*輸入!$E$4</f>
        <v>41586.274849709589</v>
      </c>
      <c r="P13" s="43">
        <f>M13*輸入!$E$12</f>
        <v>143024.72148758179</v>
      </c>
      <c r="Q13" s="43">
        <f>M13*輸入!$E$13</f>
        <v>94753.877985523111</v>
      </c>
      <c r="R13" s="44">
        <f>輸入!$T$5</f>
        <v>3.8</v>
      </c>
      <c r="S13" s="44">
        <f>MAX(R13*輸入!$E$17,MIN(R13*輸入!$E$16,R13+輸入!$E$15*(E13-輸入!$E$14)))</f>
        <v>2.2799999999999998</v>
      </c>
      <c r="T13" s="44">
        <f>MAX(R13*輸入!$E$17,MIN(R13*輸入!$E$16,R13+輸入!$E$15*(F13-輸入!$E$14)))</f>
        <v>2.2799999999999998</v>
      </c>
      <c r="U13" s="43">
        <f t="shared" si="3"/>
        <v>90261.603995519661</v>
      </c>
      <c r="V13" s="43">
        <f>IFERROR((O13+Q13)/輸入!$S$5,0)</f>
        <v>151489.0587058141</v>
      </c>
      <c r="W13" s="43">
        <f>IFERROR(N13/S13,0)*輸入!$E$5+IFERROR(P13/T13,0)*輸入!$E$6</f>
        <v>253185.47298099345</v>
      </c>
      <c r="X13" s="43">
        <f>V13*輸入!$E$8</f>
        <v>243845.56733330287</v>
      </c>
      <c r="Y13" s="43">
        <f t="shared" si="4"/>
        <v>497031.04031429632</v>
      </c>
      <c r="Z13" s="161">
        <f>輸入!$S$3</f>
        <v>0.9</v>
      </c>
      <c r="AA13" s="162">
        <f>IFERROR((L13+M13)/Z13,0)</f>
        <v>386254.5964577336</v>
      </c>
      <c r="AB13" s="162">
        <f>AA13*輸入!$E$8</f>
        <v>621737.7810184859</v>
      </c>
      <c r="AC13" s="162">
        <f>AA13*輸入!$E$9</f>
        <v>78023.428484462187</v>
      </c>
      <c r="AD13" s="162">
        <f t="shared" si="6"/>
        <v>78023.428484462187</v>
      </c>
      <c r="AE13" s="45">
        <f>輸入!$T$4</f>
        <v>4.0142857142857142</v>
      </c>
      <c r="AF13" s="45">
        <f>MAX(AE13*輸入!$E$17,MIN(AE13*輸入!$E$16,AE13+輸入!$E$15*(E13-輸入!$E$14)))</f>
        <v>2.4480357142857145</v>
      </c>
      <c r="AG13" s="45">
        <f>MAX(AE13*輸入!$E$17,MIN(AE13*輸入!$E$16,AE13+輸入!$E$15*(F13-輸入!$E$14)))</f>
        <v>2.4085714285714284</v>
      </c>
      <c r="AH13" s="46">
        <f>IFERROR(L13/AF13,0)+IFERROR(M13/AG13,0)</f>
        <v>143594.76930811978</v>
      </c>
      <c r="AI13" s="46">
        <f>IFERROR(L13/AF13,0)*輸入!$E$5+IFERROR(M13/AG13,0)*輸入!$E$6</f>
        <v>403859.85412576591</v>
      </c>
      <c r="AJ13" s="46">
        <f>AH13*輸入!$B$6</f>
        <v>93336.600050277862</v>
      </c>
      <c r="AK13" s="46">
        <f t="shared" si="8"/>
        <v>93336.600050277862</v>
      </c>
      <c r="AL13" s="157">
        <f>輸入!$T$5</f>
        <v>3.8</v>
      </c>
      <c r="AM13" s="157">
        <f t="shared" si="9"/>
        <v>2.2799999999999998</v>
      </c>
      <c r="AN13" s="157">
        <f t="shared" si="10"/>
        <v>2.2799999999999998</v>
      </c>
      <c r="AO13" s="158">
        <f t="shared" si="11"/>
        <v>90261.603995519661</v>
      </c>
      <c r="AP13" s="158">
        <f>AO13*輸入!$B$6</f>
        <v>58670.042597087784</v>
      </c>
      <c r="AQ13" s="158">
        <f>V13*輸入!$E$9</f>
        <v>30600.789858574448</v>
      </c>
      <c r="AR13" s="158">
        <f t="shared" si="12"/>
        <v>89270.832455662225</v>
      </c>
      <c r="AS13" s="49">
        <f t="shared" si="13"/>
        <v>103259.50509852413</v>
      </c>
      <c r="AT13" s="166">
        <f t="shared" si="20"/>
        <v>0.98947368421052695</v>
      </c>
      <c r="AU13" s="49">
        <f t="shared" si="14"/>
        <v>1098.5053733884818</v>
      </c>
      <c r="AV13" s="166">
        <f t="shared" si="21"/>
        <v>1.0526315789472994E-2</v>
      </c>
      <c r="AW13" s="49">
        <f t="shared" si="15"/>
        <v>235275.6668470724</v>
      </c>
      <c r="AX13" s="166">
        <f t="shared" si="22"/>
        <v>0.98947368421052695</v>
      </c>
      <c r="AY13" s="49">
        <f t="shared" si="16"/>
        <v>2502.9326260325188</v>
      </c>
      <c r="AZ13" s="166">
        <f t="shared" si="23"/>
        <v>1.0526315789472992E-2</v>
      </c>
      <c r="BA13" s="50">
        <f>輸入!$T$6</f>
        <v>4</v>
      </c>
      <c r="BB13" s="50">
        <f>MAX(BA13*輸入!$E$17,MIN(BA13*輸入!$E$16,BA13+輸入!$E$15*(E13-輸入!$E$14)))</f>
        <v>2.4337500000000003</v>
      </c>
      <c r="BC13" s="50">
        <f>MAX(BA13*輸入!$E$17,MIN(BA13*輸入!$E$16,BA13+輸入!$E$15*(F13-輸入!$E$14)))</f>
        <v>2.4</v>
      </c>
      <c r="BD13" s="49">
        <f t="shared" si="17"/>
        <v>140459.67581330601</v>
      </c>
      <c r="BE13" s="49">
        <f>IFERROR((AU13+AY13)/輸入!$S$6,0)</f>
        <v>4092.5431811602275</v>
      </c>
      <c r="BF13" s="49">
        <f>IFERROR(AS13/BB13,0)*輸入!$E$5+IFERROR(AW13/BC13,0)*輸入!$E$6</f>
        <v>393577.33749362419</v>
      </c>
      <c r="BG13" s="49">
        <f>BE13*輸入!$E$8</f>
        <v>6587.5946578031962</v>
      </c>
      <c r="BH13" s="49">
        <f t="shared" si="18"/>
        <v>400164.93215142738</v>
      </c>
      <c r="BI13" s="49">
        <f>BD13*輸入!$B$6</f>
        <v>91298.78927864891</v>
      </c>
      <c r="BJ13" s="49">
        <f>BE13*輸入!$E$9</f>
        <v>826.69372259436602</v>
      </c>
      <c r="BK13" s="49">
        <f t="shared" si="19"/>
        <v>92125.483001243279</v>
      </c>
      <c r="BL13" s="59"/>
      <c r="BM13" s="62"/>
      <c r="BN13" s="62"/>
      <c r="BO13" s="53"/>
      <c r="BP13" s="53"/>
      <c r="BQ13" s="53"/>
      <c r="BR13" s="53"/>
      <c r="BS13" s="53"/>
      <c r="BT13" s="53"/>
      <c r="BU13" s="53"/>
      <c r="BV13" s="53"/>
      <c r="BW13" s="63"/>
      <c r="BX13" s="63"/>
      <c r="BY13" s="63"/>
      <c r="BZ13" s="63"/>
      <c r="CA13" s="63"/>
      <c r="CB13" s="63"/>
      <c r="CC13" s="63"/>
      <c r="CD13" s="57"/>
      <c r="CE13" s="57"/>
      <c r="CF13" s="57"/>
      <c r="CG13" s="57"/>
      <c r="CH13" s="57"/>
      <c r="CI13" s="57"/>
      <c r="CJ13" s="57"/>
      <c r="CK13" s="57"/>
      <c r="CL13" s="64">
        <v>11</v>
      </c>
      <c r="CM13" s="64">
        <f>IF(CL13=0,-$BH$4,IF(CL13&lt;=輸入!$E$19,$BH$2,""))</f>
        <v>438529.77515855734</v>
      </c>
      <c r="CN13" s="65">
        <f>IF(CL13=0,-$BI$4,IF(CL13&lt;=輸入!$E$19,$BI$2,""))</f>
        <v>99388.526164888739</v>
      </c>
      <c r="CO13" s="66">
        <f>IF(CL13=0,-$BJ$4,IF(CL13&lt;=輸入!$E$19,$BJ$2,""))</f>
        <v>896.13817669868433</v>
      </c>
      <c r="CP13" s="66">
        <f>IF(CL13=0,-$BK$4,IF(CL13&lt;=輸入!$E$19,$BK$2,""))</f>
        <v>100284.66434158743</v>
      </c>
      <c r="CX13" s="39">
        <f t="shared" si="24"/>
        <v>0.10999999999999999</v>
      </c>
      <c r="CY13" s="39">
        <f>1-輸入!$E$2-CX13</f>
        <v>0.84</v>
      </c>
      <c r="CZ13" s="40">
        <f>IF(OR(CX13&lt;0,CY13&lt;0,CX13&gt;1-輸入!$E$2),"",IF(1-輸入!$E$2=0,0,SUMPRODUCT($L$2:$L$13*CX13/$BB$2:$BB$13)*輸入!$E$5+SUMPRODUCT($M$2:$M$13*CX13/(1-輸入!$E$2)/$BC$2:$BC$13)*輸入!$E$6+SUMPRODUCT((($L$2:$L$13*CY13)+($M$2:$M$13*CY13/(1-輸入!$E$2)))/輸入!$S$6)*輸入!$E$8))</f>
        <v>3441576.9105898552</v>
      </c>
    </row>
    <row r="14" spans="1:107" s="2" customFormat="1" ht="15" customHeight="1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163"/>
      <c r="AA14" s="163"/>
      <c r="AB14" s="163"/>
      <c r="AC14" s="163"/>
      <c r="AD14" s="163"/>
      <c r="AE14" s="70"/>
      <c r="AF14" s="70"/>
      <c r="AG14" s="70"/>
      <c r="AH14" s="70"/>
      <c r="AI14" s="70"/>
      <c r="AJ14" s="70"/>
      <c r="AK14" s="70"/>
      <c r="AL14" s="156"/>
      <c r="AM14" s="156"/>
      <c r="AN14" s="156"/>
      <c r="AO14" s="156"/>
      <c r="AP14" s="156"/>
      <c r="AQ14" s="156"/>
      <c r="AR14" s="156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71"/>
      <c r="BK14" s="61"/>
      <c r="BL14" s="59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6"/>
      <c r="BX14" s="66"/>
      <c r="BY14" s="66"/>
      <c r="BZ14" s="66"/>
      <c r="CA14" s="66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64">
        <v>12</v>
      </c>
      <c r="CM14" s="64">
        <f>IF(CL14=0,-$BH$4,IF(CL14&lt;=輸入!$E$19,$BH$2,""))</f>
        <v>438529.77515855734</v>
      </c>
      <c r="CN14" s="65">
        <f>IF(CL14=0,-$BI$4,IF(CL14&lt;=輸入!$E$19,$BI$2,""))</f>
        <v>99388.526164888739</v>
      </c>
      <c r="CO14" s="66">
        <f>IF(CL14=0,-$BJ$4,IF(CL14&lt;=輸入!$E$19,$BJ$2,""))</f>
        <v>896.13817669868433</v>
      </c>
      <c r="CP14" s="66">
        <f>IF(CL14=0,-$BK$4,IF(CL14&lt;=輸入!$E$19,$BK$2,""))</f>
        <v>100284.66434158743</v>
      </c>
      <c r="CX14" s="39">
        <f t="shared" si="24"/>
        <v>0.11999999999999998</v>
      </c>
      <c r="CY14" s="39">
        <f>1-輸入!$E$2-CX14</f>
        <v>0.83</v>
      </c>
      <c r="CZ14" s="40">
        <f>IF(OR(CX14&lt;0,CY14&lt;0,CX14&gt;1-輸入!$E$2),"",IF(1-輸入!$E$2=0,0,SUMPRODUCT($L$2:$L$13*CX14/$BB$2:$BB$13)*輸入!$E$5+SUMPRODUCT($M$2:$M$13*CX14/(1-輸入!$E$2)/$BC$2:$BC$13)*輸入!$E$6+SUMPRODUCT((($L$2:$L$13*CY14)+($M$2:$M$13*CY14/(1-輸入!$E$2)))/輸入!$S$6)*輸入!$E$8))</f>
        <v>3424691.4806277133</v>
      </c>
    </row>
    <row r="15" spans="1:107" s="2" customFormat="1" ht="15" customHeight="1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163"/>
      <c r="AA15" s="163"/>
      <c r="AB15" s="163"/>
      <c r="AC15" s="163"/>
      <c r="AD15" s="163"/>
      <c r="AE15" s="70"/>
      <c r="AF15" s="70"/>
      <c r="AG15" s="70"/>
      <c r="AH15" s="70"/>
      <c r="AI15" s="70"/>
      <c r="AJ15" s="70"/>
      <c r="AK15" s="70"/>
      <c r="AL15" s="156"/>
      <c r="AM15" s="156"/>
      <c r="AN15" s="156"/>
      <c r="AO15" s="156"/>
      <c r="AP15" s="156"/>
      <c r="AQ15" s="156"/>
      <c r="AR15" s="156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71"/>
      <c r="BK15" s="61"/>
      <c r="BL15" s="59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6"/>
      <c r="BX15" s="66"/>
      <c r="BY15" s="66"/>
      <c r="BZ15" s="66"/>
      <c r="CA15" s="66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64">
        <v>13</v>
      </c>
      <c r="CM15" s="64">
        <f>IF(CL15=0,-$BH$4,IF(CL15&lt;=輸入!$E$19,$BH$2,""))</f>
        <v>438529.77515855734</v>
      </c>
      <c r="CN15" s="65">
        <f>IF(CL15=0,-$BI$4,IF(CL15&lt;=輸入!$E$19,$BI$2,""))</f>
        <v>99388.526164888739</v>
      </c>
      <c r="CO15" s="66">
        <f>IF(CL15=0,-$BJ$4,IF(CL15&lt;=輸入!$E$19,$BJ$2,""))</f>
        <v>896.13817669868433</v>
      </c>
      <c r="CP15" s="66">
        <f>IF(CL15=0,-$BK$4,IF(CL15&lt;=輸入!$E$19,$BK$2,""))</f>
        <v>100284.66434158743</v>
      </c>
      <c r="CX15" s="39">
        <f t="shared" si="24"/>
        <v>0.12999999999999998</v>
      </c>
      <c r="CY15" s="39">
        <f>1-輸入!$E$2-CX15</f>
        <v>0.82</v>
      </c>
      <c r="CZ15" s="40">
        <f>IF(OR(CX15&lt;0,CY15&lt;0,CX15&gt;1-輸入!$E$2),"",IF(1-輸入!$E$2=0,0,SUMPRODUCT($L$2:$L$13*CX15/$BB$2:$BB$13)*輸入!$E$5+SUMPRODUCT($M$2:$M$13*CX15/(1-輸入!$E$2)/$BC$2:$BC$13)*輸入!$E$6+SUMPRODUCT((($L$2:$L$13*CY15)+($M$2:$M$13*CY15/(1-輸入!$E$2)))/輸入!$S$6)*輸入!$E$8))</f>
        <v>3407806.0506655704</v>
      </c>
    </row>
    <row r="16" spans="1:107" s="2" customFormat="1" ht="15" customHeight="1">
      <c r="A16" s="72" t="s">
        <v>148</v>
      </c>
      <c r="B16" s="73">
        <f>輸入!$B$17*MAX(輸入!$B$3-MIN($E$2:$E$13),輸入!$B$4-MIN($F$2:$F$13))/1000*輸入!$E$10</f>
        <v>589.72320000000002</v>
      </c>
      <c r="C16" s="68"/>
      <c r="D16" s="68"/>
      <c r="E16" s="68"/>
      <c r="F16" s="68"/>
      <c r="G16" s="68"/>
      <c r="H16" s="68"/>
      <c r="I16" s="68"/>
      <c r="J16" s="68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163"/>
      <c r="AA16" s="163"/>
      <c r="AB16" s="163"/>
      <c r="AC16" s="163"/>
      <c r="AD16" s="163"/>
      <c r="AE16" s="70"/>
      <c r="AF16" s="70"/>
      <c r="AG16" s="70"/>
      <c r="AH16" s="70"/>
      <c r="AI16" s="70"/>
      <c r="AJ16" s="70"/>
      <c r="AK16" s="70"/>
      <c r="AL16" s="156"/>
      <c r="AM16" s="156"/>
      <c r="AN16" s="156"/>
      <c r="AO16" s="156"/>
      <c r="AP16" s="156"/>
      <c r="AQ16" s="156"/>
      <c r="AR16" s="156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71"/>
      <c r="BK16" s="61"/>
      <c r="BL16" s="59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6"/>
      <c r="BX16" s="66"/>
      <c r="BY16" s="66"/>
      <c r="BZ16" s="66"/>
      <c r="CA16" s="66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64">
        <v>14</v>
      </c>
      <c r="CM16" s="64">
        <f>IF(CL16=0,-$BH$4,IF(CL16&lt;=輸入!$E$19,$BH$2,""))</f>
        <v>438529.77515855734</v>
      </c>
      <c r="CN16" s="65">
        <f>IF(CL16=0,-$BI$4,IF(CL16&lt;=輸入!$E$19,$BI$2,""))</f>
        <v>99388.526164888739</v>
      </c>
      <c r="CO16" s="66">
        <f>IF(CL16=0,-$BJ$4,IF(CL16&lt;=輸入!$E$19,$BJ$2,""))</f>
        <v>896.13817669868433</v>
      </c>
      <c r="CP16" s="66">
        <f>IF(CL16=0,-$BK$4,IF(CL16&lt;=輸入!$E$19,$BK$2,""))</f>
        <v>100284.66434158743</v>
      </c>
      <c r="CX16" s="39">
        <f t="shared" si="24"/>
        <v>0.13999999999999999</v>
      </c>
      <c r="CY16" s="39">
        <f>1-輸入!$E$2-CX16</f>
        <v>0.80999999999999994</v>
      </c>
      <c r="CZ16" s="40">
        <f>IF(OR(CX16&lt;0,CY16&lt;0,CX16&gt;1-輸入!$E$2),"",IF(1-輸入!$E$2=0,0,SUMPRODUCT($L$2:$L$13*CX16/$BB$2:$BB$13)*輸入!$E$5+SUMPRODUCT($M$2:$M$13*CX16/(1-輸入!$E$2)/$BC$2:$BC$13)*輸入!$E$6+SUMPRODUCT((($L$2:$L$13*CY16)+($M$2:$M$13*CY16/(1-輸入!$E$2)))/輸入!$S$6)*輸入!$E$8))</f>
        <v>3390920.6207034281</v>
      </c>
    </row>
    <row r="17" spans="1:104" s="2" customFormat="1" ht="15" customHeight="1">
      <c r="A17" s="74" t="s">
        <v>149</v>
      </c>
      <c r="B17" s="167">
        <f>輸入!$E$2</f>
        <v>0.05</v>
      </c>
      <c r="C17" s="68"/>
      <c r="D17" s="68"/>
      <c r="E17" s="68"/>
      <c r="F17" s="68"/>
      <c r="G17" s="68"/>
      <c r="H17" s="68"/>
      <c r="I17" s="68"/>
      <c r="J17" s="68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163"/>
      <c r="AA17" s="163"/>
      <c r="AB17" s="163"/>
      <c r="AC17" s="163"/>
      <c r="AD17" s="163"/>
      <c r="AE17" s="70"/>
      <c r="AF17" s="70"/>
      <c r="AG17" s="70"/>
      <c r="AH17" s="70"/>
      <c r="AI17" s="70"/>
      <c r="AJ17" s="70"/>
      <c r="AK17" s="70"/>
      <c r="AL17" s="156"/>
      <c r="AM17" s="156"/>
      <c r="AN17" s="156"/>
      <c r="AO17" s="156"/>
      <c r="AP17" s="156"/>
      <c r="AQ17" s="156"/>
      <c r="AR17" s="156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71"/>
      <c r="BK17" s="61"/>
      <c r="BL17" s="59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6"/>
      <c r="BX17" s="66"/>
      <c r="BY17" s="66"/>
      <c r="BZ17" s="66"/>
      <c r="CA17" s="66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64">
        <v>15</v>
      </c>
      <c r="CM17" s="64">
        <f>IF(CL17=0,-$BH$4,IF(CL17&lt;=輸入!$E$19,$BH$2,""))</f>
        <v>438529.77515855734</v>
      </c>
      <c r="CN17" s="65">
        <f>IF(CL17=0,-$BI$4,IF(CL17&lt;=輸入!$E$19,$BI$2,""))</f>
        <v>99388.526164888739</v>
      </c>
      <c r="CO17" s="66">
        <f>IF(CL17=0,-$BJ$4,IF(CL17&lt;=輸入!$E$19,$BJ$2,""))</f>
        <v>896.13817669868433</v>
      </c>
      <c r="CP17" s="66">
        <f>IF(CL17=0,-$BK$4,IF(CL17&lt;=輸入!$E$19,$BK$2,""))</f>
        <v>100284.66434158743</v>
      </c>
      <c r="CX17" s="39">
        <f t="shared" si="24"/>
        <v>0.15</v>
      </c>
      <c r="CY17" s="39">
        <f>1-輸入!$E$2-CX17</f>
        <v>0.79999999999999993</v>
      </c>
      <c r="CZ17" s="40">
        <f>IF(OR(CX17&lt;0,CY17&lt;0,CX17&gt;1-輸入!$E$2),"",IF(1-輸入!$E$2=0,0,SUMPRODUCT($L$2:$L$13*CX17/$BB$2:$BB$13)*輸入!$E$5+SUMPRODUCT($M$2:$M$13*CX17/(1-輸入!$E$2)/$BC$2:$BC$13)*輸入!$E$6+SUMPRODUCT((($L$2:$L$13*CY17)+($M$2:$M$13*CY17/(1-輸入!$E$2)))/輸入!$S$6)*輸入!$E$8))</f>
        <v>3374035.1907412848</v>
      </c>
    </row>
    <row r="18" spans="1:104" s="2" customFormat="1" ht="15" customHeight="1">
      <c r="A18" s="74" t="s">
        <v>150</v>
      </c>
      <c r="B18" s="167">
        <f>DA2</f>
        <v>0.94000000000000061</v>
      </c>
      <c r="C18" s="68"/>
      <c r="D18" s="68"/>
      <c r="E18" s="68"/>
      <c r="F18" s="68"/>
      <c r="G18" s="68"/>
      <c r="H18" s="68"/>
      <c r="I18" s="68"/>
      <c r="J18" s="68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163"/>
      <c r="AA18" s="163"/>
      <c r="AB18" s="163"/>
      <c r="AC18" s="163"/>
      <c r="AD18" s="163"/>
      <c r="AE18" s="70"/>
      <c r="AF18" s="70"/>
      <c r="AG18" s="70"/>
      <c r="AH18" s="70"/>
      <c r="AI18" s="70"/>
      <c r="AJ18" s="70"/>
      <c r="AK18" s="70"/>
      <c r="AL18" s="156"/>
      <c r="AM18" s="156"/>
      <c r="AN18" s="156"/>
      <c r="AO18" s="156"/>
      <c r="AP18" s="156"/>
      <c r="AQ18" s="156"/>
      <c r="AR18" s="156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71"/>
      <c r="BK18" s="61"/>
      <c r="BL18" s="59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6"/>
      <c r="BX18" s="66"/>
      <c r="BY18" s="66"/>
      <c r="BZ18" s="66"/>
      <c r="CA18" s="66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64">
        <v>16</v>
      </c>
      <c r="CM18" s="64" t="str">
        <f>IF(CL18=0,-$BH$4,IF(CL18&lt;=輸入!$E$19,$BH$2,""))</f>
        <v/>
      </c>
      <c r="CN18" s="65" t="str">
        <f>IF(CL18=0,-$BI$4,IF(CL18&lt;=輸入!$E$19,$BI$2,""))</f>
        <v/>
      </c>
      <c r="CO18" s="66" t="str">
        <f>IF(CL18=0,-$BJ$4,IF(CL18&lt;=輸入!$E$19,$BJ$2,""))</f>
        <v/>
      </c>
      <c r="CP18" s="66" t="str">
        <f>IF(CL18=0,-$BK$4,IF(CL18&lt;=輸入!$E$19,$BK$2,""))</f>
        <v/>
      </c>
      <c r="CX18" s="39">
        <f t="shared" si="24"/>
        <v>0.16</v>
      </c>
      <c r="CY18" s="39">
        <f>1-輸入!$E$2-CX18</f>
        <v>0.78999999999999992</v>
      </c>
      <c r="CZ18" s="40">
        <f>IF(OR(CX18&lt;0,CY18&lt;0,CX18&gt;1-輸入!$E$2),"",IF(1-輸入!$E$2=0,0,SUMPRODUCT($L$2:$L$13*CX18/$BB$2:$BB$13)*輸入!$E$5+SUMPRODUCT($M$2:$M$13*CX18/(1-輸入!$E$2)/$BC$2:$BC$13)*輸入!$E$6+SUMPRODUCT((($L$2:$L$13*CY18)+($M$2:$M$13*CY18/(1-輸入!$E$2)))/輸入!$S$6)*輸入!$E$8))</f>
        <v>3357149.7607791424</v>
      </c>
    </row>
    <row r="19" spans="1:104" s="2" customFormat="1" ht="15" customHeight="1">
      <c r="A19" s="74" t="s">
        <v>151</v>
      </c>
      <c r="B19" s="167">
        <f>DB2</f>
        <v>9.9999999999993427E-3</v>
      </c>
      <c r="C19" s="68"/>
      <c r="D19" s="68"/>
      <c r="E19" s="68"/>
      <c r="F19" s="68"/>
      <c r="G19" s="68"/>
      <c r="H19" s="68"/>
      <c r="I19" s="68"/>
      <c r="J19" s="68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163"/>
      <c r="AA19" s="163"/>
      <c r="AB19" s="163"/>
      <c r="AC19" s="163"/>
      <c r="AD19" s="163"/>
      <c r="AE19" s="70"/>
      <c r="AF19" s="70"/>
      <c r="AG19" s="70"/>
      <c r="AH19" s="70"/>
      <c r="AI19" s="70"/>
      <c r="AJ19" s="70"/>
      <c r="AK19" s="70"/>
      <c r="AL19" s="156"/>
      <c r="AM19" s="156"/>
      <c r="AN19" s="156"/>
      <c r="AO19" s="156"/>
      <c r="AP19" s="156"/>
      <c r="AQ19" s="156"/>
      <c r="AR19" s="156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71"/>
      <c r="BK19" s="61"/>
      <c r="BL19" s="59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6"/>
      <c r="BX19" s="66"/>
      <c r="BY19" s="66"/>
      <c r="BZ19" s="66"/>
      <c r="CA19" s="66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64">
        <v>17</v>
      </c>
      <c r="CM19" s="64" t="str">
        <f>IF(CL19=0,-$BH$4,IF(CL19&lt;=輸入!$E$19,$BH$2,""))</f>
        <v/>
      </c>
      <c r="CN19" s="65" t="str">
        <f>IF(CL19=0,-$BI$4,IF(CL19&lt;=輸入!$E$19,$BI$2,""))</f>
        <v/>
      </c>
      <c r="CO19" s="66" t="str">
        <f>IF(CL19=0,-$BJ$4,IF(CL19&lt;=輸入!$E$19,$BJ$2,""))</f>
        <v/>
      </c>
      <c r="CP19" s="66" t="str">
        <f>IF(CL19=0,-$BK$4,IF(CL19&lt;=輸入!$E$19,$BK$2,""))</f>
        <v/>
      </c>
      <c r="CX19" s="39">
        <f t="shared" si="24"/>
        <v>0.17</v>
      </c>
      <c r="CY19" s="39">
        <f>1-輸入!$E$2-CX19</f>
        <v>0.77999999999999992</v>
      </c>
      <c r="CZ19" s="40">
        <f>IF(OR(CX19&lt;0,CY19&lt;0,CX19&gt;1-輸入!$E$2),"",IF(1-輸入!$E$2=0,0,SUMPRODUCT($L$2:$L$13*CX19/$BB$2:$BB$13)*輸入!$E$5+SUMPRODUCT($M$2:$M$13*CX19/(1-輸入!$E$2)/$BC$2:$BC$13)*輸入!$E$6+SUMPRODUCT((($L$2:$L$13*CY19)+($M$2:$M$13*CY19/(1-輸入!$E$2)))/輸入!$S$6)*輸入!$E$8))</f>
        <v>3340264.330817</v>
      </c>
    </row>
    <row r="20" spans="1:104" s="2" customFormat="1" ht="15" customHeight="1">
      <c r="A20" s="67"/>
      <c r="B20" s="68"/>
      <c r="C20" s="68"/>
      <c r="D20" s="68"/>
      <c r="E20" s="68"/>
      <c r="F20" s="68"/>
      <c r="G20" s="68"/>
      <c r="H20" s="68"/>
      <c r="I20" s="68"/>
      <c r="J20" s="68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163"/>
      <c r="AA20" s="163"/>
      <c r="AB20" s="163"/>
      <c r="AC20" s="163"/>
      <c r="AD20" s="163"/>
      <c r="AE20" s="70"/>
      <c r="AF20" s="70"/>
      <c r="AG20" s="70"/>
      <c r="AH20" s="70"/>
      <c r="AI20" s="70"/>
      <c r="AJ20" s="70"/>
      <c r="AK20" s="70"/>
      <c r="AL20" s="156"/>
      <c r="AM20" s="156"/>
      <c r="AN20" s="156"/>
      <c r="AO20" s="156"/>
      <c r="AP20" s="156"/>
      <c r="AQ20" s="156"/>
      <c r="AR20" s="156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71"/>
      <c r="BK20" s="61"/>
      <c r="BL20" s="59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6"/>
      <c r="BX20" s="66"/>
      <c r="BY20" s="66"/>
      <c r="BZ20" s="66"/>
      <c r="CA20" s="66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64">
        <v>18</v>
      </c>
      <c r="CM20" s="64" t="str">
        <f>IF(CL20=0,-$BH$4,IF(CL20&lt;=輸入!$E$19,$BH$2,""))</f>
        <v/>
      </c>
      <c r="CN20" s="65" t="str">
        <f>IF(CL20=0,-$BI$4,IF(CL20&lt;=輸入!$E$19,$BI$2,""))</f>
        <v/>
      </c>
      <c r="CO20" s="66" t="str">
        <f>IF(CL20=0,-$BJ$4,IF(CL20&lt;=輸入!$E$19,$BJ$2,""))</f>
        <v/>
      </c>
      <c r="CP20" s="66" t="str">
        <f>IF(CL20=0,-$BK$4,IF(CL20&lt;=輸入!$E$19,$BK$2,""))</f>
        <v/>
      </c>
      <c r="CX20" s="39">
        <f t="shared" si="24"/>
        <v>0.18000000000000002</v>
      </c>
      <c r="CY20" s="39">
        <f>1-輸入!$E$2-CX20</f>
        <v>0.76999999999999991</v>
      </c>
      <c r="CZ20" s="40">
        <f>IF(OR(CX20&lt;0,CY20&lt;0,CX20&gt;1-輸入!$E$2),"",IF(1-輸入!$E$2=0,0,SUMPRODUCT($L$2:$L$13*CX20/$BB$2:$BB$13)*輸入!$E$5+SUMPRODUCT($M$2:$M$13*CX20/(1-輸入!$E$2)/$BC$2:$BC$13)*輸入!$E$6+SUMPRODUCT((($L$2:$L$13*CY20)+($M$2:$M$13*CY20/(1-輸入!$E$2)))/輸入!$S$6)*輸入!$E$8))</f>
        <v>3323378.9008548567</v>
      </c>
    </row>
    <row r="21" spans="1:104" s="2" customFormat="1" ht="15" customHeight="1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163"/>
      <c r="AA21" s="163"/>
      <c r="AB21" s="163"/>
      <c r="AC21" s="163"/>
      <c r="AD21" s="163"/>
      <c r="AE21" s="70"/>
      <c r="AF21" s="70"/>
      <c r="AG21" s="70"/>
      <c r="AH21" s="70"/>
      <c r="AI21" s="70"/>
      <c r="AJ21" s="70"/>
      <c r="AK21" s="70"/>
      <c r="AL21" s="156"/>
      <c r="AM21" s="156"/>
      <c r="AN21" s="156"/>
      <c r="AO21" s="156"/>
      <c r="AP21" s="156"/>
      <c r="AQ21" s="156"/>
      <c r="AR21" s="156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71"/>
      <c r="BK21" s="61"/>
      <c r="BL21" s="59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6"/>
      <c r="BX21" s="66"/>
      <c r="BY21" s="66"/>
      <c r="BZ21" s="66"/>
      <c r="CA21" s="66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64">
        <v>19</v>
      </c>
      <c r="CM21" s="64" t="str">
        <f>IF(CL21=0,-$BH$4,IF(CL21&lt;=輸入!$E$19,$BH$2,""))</f>
        <v/>
      </c>
      <c r="CN21" s="65" t="str">
        <f>IF(CL21=0,-$BI$4,IF(CL21&lt;=輸入!$E$19,$BI$2,""))</f>
        <v/>
      </c>
      <c r="CO21" s="66" t="str">
        <f>IF(CL21=0,-$BJ$4,IF(CL21&lt;=輸入!$E$19,$BJ$2,""))</f>
        <v/>
      </c>
      <c r="CP21" s="66" t="str">
        <f>IF(CL21=0,-$BK$4,IF(CL21&lt;=輸入!$E$19,$BK$2,""))</f>
        <v/>
      </c>
      <c r="CX21" s="39">
        <f t="shared" si="24"/>
        <v>0.19000000000000003</v>
      </c>
      <c r="CY21" s="39">
        <f>1-輸入!$E$2-CX21</f>
        <v>0.7599999999999999</v>
      </c>
      <c r="CZ21" s="40">
        <f>IF(OR(CX21&lt;0,CY21&lt;0,CX21&gt;1-輸入!$E$2),"",IF(1-輸入!$E$2=0,0,SUMPRODUCT($L$2:$L$13*CX21/$BB$2:$BB$13)*輸入!$E$5+SUMPRODUCT($M$2:$M$13*CX21/(1-輸入!$E$2)/$BC$2:$BC$13)*輸入!$E$6+SUMPRODUCT((($L$2:$L$13*CY21)+($M$2:$M$13*CY21/(1-輸入!$E$2)))/輸入!$S$6)*輸入!$E$8))</f>
        <v>3306493.4708927143</v>
      </c>
    </row>
    <row r="22" spans="1:104" s="2" customFormat="1" ht="15" customHeight="1">
      <c r="A22" s="67"/>
      <c r="B22" s="68"/>
      <c r="C22" s="68"/>
      <c r="D22" s="68"/>
      <c r="E22" s="68"/>
      <c r="F22" s="68"/>
      <c r="G22" s="68"/>
      <c r="H22" s="68"/>
      <c r="I22" s="68"/>
      <c r="J22" s="68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163"/>
      <c r="AA22" s="163"/>
      <c r="AB22" s="163"/>
      <c r="AC22" s="163"/>
      <c r="AD22" s="163"/>
      <c r="AE22" s="70"/>
      <c r="AF22" s="70"/>
      <c r="AG22" s="70"/>
      <c r="AH22" s="70"/>
      <c r="AI22" s="70"/>
      <c r="AJ22" s="70"/>
      <c r="AK22" s="70"/>
      <c r="AL22" s="156"/>
      <c r="AM22" s="156"/>
      <c r="AN22" s="156"/>
      <c r="AO22" s="156"/>
      <c r="AP22" s="156"/>
      <c r="AQ22" s="156"/>
      <c r="AR22" s="156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71"/>
      <c r="BK22" s="61"/>
      <c r="BL22" s="59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6"/>
      <c r="BX22" s="66"/>
      <c r="BY22" s="66"/>
      <c r="BZ22" s="66"/>
      <c r="CA22" s="66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64">
        <v>20</v>
      </c>
      <c r="CM22" s="64" t="str">
        <f>IF(CL22=0,-$BH$4,IF(CL22&lt;=輸入!$E$19,$BH$2,""))</f>
        <v/>
      </c>
      <c r="CN22" s="65" t="str">
        <f>IF(CL22=0,-$BI$4,IF(CL22&lt;=輸入!$E$19,$BI$2,""))</f>
        <v/>
      </c>
      <c r="CO22" s="66" t="str">
        <f>IF(CL22=0,-$BJ$4,IF(CL22&lt;=輸入!$E$19,$BJ$2,""))</f>
        <v/>
      </c>
      <c r="CP22" s="66" t="str">
        <f>IF(CL22=0,-$BK$4,IF(CL22&lt;=輸入!$E$19,$BK$2,""))</f>
        <v/>
      </c>
      <c r="CX22" s="39">
        <f t="shared" si="24"/>
        <v>0.20000000000000004</v>
      </c>
      <c r="CY22" s="39">
        <f>1-輸入!$E$2-CX22</f>
        <v>0.74999999999999989</v>
      </c>
      <c r="CZ22" s="40">
        <f>IF(OR(CX22&lt;0,CY22&lt;0,CX22&gt;1-輸入!$E$2),"",IF(1-輸入!$E$2=0,0,SUMPRODUCT($L$2:$L$13*CX22/$BB$2:$BB$13)*輸入!$E$5+SUMPRODUCT($M$2:$M$13*CX22/(1-輸入!$E$2)/$BC$2:$BC$13)*輸入!$E$6+SUMPRODUCT((($L$2:$L$13*CY22)+($M$2:$M$13*CY22/(1-輸入!$E$2)))/輸入!$S$6)*輸入!$E$8))</f>
        <v>3289608.040930572</v>
      </c>
    </row>
    <row r="23" spans="1:104" s="2" customFormat="1" ht="15" customHeight="1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163"/>
      <c r="AA23" s="163"/>
      <c r="AB23" s="163"/>
      <c r="AC23" s="163"/>
      <c r="AD23" s="163"/>
      <c r="AE23" s="70"/>
      <c r="AF23" s="70"/>
      <c r="AG23" s="70"/>
      <c r="AH23" s="70"/>
      <c r="AI23" s="70"/>
      <c r="AJ23" s="70"/>
      <c r="AK23" s="70"/>
      <c r="AL23" s="156"/>
      <c r="AM23" s="156"/>
      <c r="AN23" s="156"/>
      <c r="AO23" s="156"/>
      <c r="AP23" s="156"/>
      <c r="AQ23" s="156"/>
      <c r="AR23" s="156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64">
        <v>0.21</v>
      </c>
      <c r="CM23" s="64">
        <f>1-輸入!$E$2-CL23</f>
        <v>0.74</v>
      </c>
      <c r="CN23" s="65">
        <f>IF(OR(CL23&lt;0,CM23&lt;0,CL23&gt;1-輸入!$E$2),"",IF(1-輸入!$E$2=0,0,SUMPRODUCT($L$2:$L$13*CL23/$S$2:$S$13)*輸入!$E$5+SUMPRODUCT($M$2:$M$13*CL23/(1-輸入!$E$2)/$T$2:$T$13)*輸入!$E$6+SUMPRODUCT((($L$2:$L$13*CM23)+($M$2:$M$13*CM23/(1-輸入!$E$2)))/輸入!$S$5)*輸入!$E$8))</f>
        <v>3236580.1686207023</v>
      </c>
      <c r="CO23" s="57"/>
      <c r="CP23" s="57"/>
      <c r="CX23" s="39">
        <f t="shared" si="24"/>
        <v>0.21000000000000005</v>
      </c>
      <c r="CY23" s="39">
        <f>1-輸入!$E$2-CX23</f>
        <v>0.73999999999999988</v>
      </c>
      <c r="CZ23" s="40">
        <f>IF(OR(CX23&lt;0,CY23&lt;0,CX23&gt;1-輸入!$E$2),"",IF(1-輸入!$E$2=0,0,SUMPRODUCT($L$2:$L$13*CX23/$BB$2:$BB$13)*輸入!$E$5+SUMPRODUCT($M$2:$M$13*CX23/(1-輸入!$E$2)/$BC$2:$BC$13)*輸入!$E$6+SUMPRODUCT((($L$2:$L$13*CY23)+($M$2:$M$13*CY23/(1-輸入!$E$2)))/輸入!$S$6)*輸入!$E$8))</f>
        <v>3272722.6109684296</v>
      </c>
    </row>
    <row r="24" spans="1:104" s="2" customFormat="1" ht="15" customHeight="1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163"/>
      <c r="AA24" s="163"/>
      <c r="AB24" s="163"/>
      <c r="AC24" s="163"/>
      <c r="AD24" s="163"/>
      <c r="AE24" s="70"/>
      <c r="AF24" s="70"/>
      <c r="AG24" s="70"/>
      <c r="AH24" s="70"/>
      <c r="AI24" s="70"/>
      <c r="AJ24" s="70"/>
      <c r="AK24" s="70"/>
      <c r="AL24" s="156"/>
      <c r="AM24" s="156"/>
      <c r="AN24" s="156"/>
      <c r="AO24" s="156"/>
      <c r="AP24" s="156"/>
      <c r="AQ24" s="156"/>
      <c r="AR24" s="156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64">
        <v>0.22</v>
      </c>
      <c r="CM24" s="64">
        <f>1-輸入!$E$2-CL24</f>
        <v>0.73</v>
      </c>
      <c r="CN24" s="65">
        <f>IF(OR(CL24&lt;0,CM24&lt;0,CL24&gt;1-輸入!$E$2),"",IF(1-輸入!$E$2=0,0,SUMPRODUCT($L$2:$L$13*CL24/$S$2:$S$13)*輸入!$E$5+SUMPRODUCT($M$2:$M$13*CL24/(1-輸入!$E$2)/$T$2:$T$13)*輸入!$E$6+SUMPRODUCT((($L$2:$L$13*CM24)+($M$2:$M$13*CM24/(1-輸入!$E$2)))/輸入!$S$5)*輸入!$E$8))</f>
        <v>3221812.1002823962</v>
      </c>
      <c r="CO24" s="57"/>
      <c r="CP24" s="57"/>
      <c r="CX24" s="39">
        <f t="shared" si="24"/>
        <v>0.22000000000000006</v>
      </c>
      <c r="CY24" s="39">
        <f>1-輸入!$E$2-CX24</f>
        <v>0.72999999999999987</v>
      </c>
      <c r="CZ24" s="40">
        <f>IF(OR(CX24&lt;0,CY24&lt;0,CX24&gt;1-輸入!$E$2),"",IF(1-輸入!$E$2=0,0,SUMPRODUCT($L$2:$L$13*CX24/$BB$2:$BB$13)*輸入!$E$5+SUMPRODUCT($M$2:$M$13*CX24/(1-輸入!$E$2)/$BC$2:$BC$13)*輸入!$E$6+SUMPRODUCT((($L$2:$L$13*CY24)+($M$2:$M$13*CY24/(1-輸入!$E$2)))/輸入!$S$6)*輸入!$E$8))</f>
        <v>3255837.1810062863</v>
      </c>
    </row>
    <row r="25" spans="1:104" s="2" customFormat="1" ht="15" customHeight="1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163"/>
      <c r="AA25" s="163"/>
      <c r="AB25" s="163"/>
      <c r="AC25" s="163"/>
      <c r="AD25" s="163"/>
      <c r="AE25" s="70"/>
      <c r="AF25" s="70"/>
      <c r="AG25" s="70"/>
      <c r="AH25" s="70"/>
      <c r="AI25" s="70"/>
      <c r="AJ25" s="70"/>
      <c r="AK25" s="70"/>
      <c r="AL25" s="156"/>
      <c r="AM25" s="156"/>
      <c r="AN25" s="156"/>
      <c r="AO25" s="156"/>
      <c r="AP25" s="156"/>
      <c r="AQ25" s="156"/>
      <c r="AR25" s="156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64">
        <v>0.23</v>
      </c>
      <c r="CM25" s="64">
        <f>1-輸入!$E$2-CL25</f>
        <v>0.72</v>
      </c>
      <c r="CN25" s="65">
        <f>IF(OR(CL25&lt;0,CM25&lt;0,CL25&gt;1-輸入!$E$2),"",IF(1-輸入!$E$2=0,0,SUMPRODUCT($L$2:$L$13*CL25/$S$2:$S$13)*輸入!$E$5+SUMPRODUCT($M$2:$M$13*CL25/(1-輸入!$E$2)/$T$2:$T$13)*輸入!$E$6+SUMPRODUCT((($L$2:$L$13*CM25)+($M$2:$M$13*CM25/(1-輸入!$E$2)))/輸入!$S$5)*輸入!$E$8))</f>
        <v>3207044.031944091</v>
      </c>
      <c r="CO25" s="57"/>
      <c r="CP25" s="57"/>
      <c r="CX25" s="39">
        <f t="shared" si="24"/>
        <v>0.23000000000000007</v>
      </c>
      <c r="CY25" s="39">
        <f>1-輸入!$E$2-CX25</f>
        <v>0.71999999999999986</v>
      </c>
      <c r="CZ25" s="40">
        <f>IF(OR(CX25&lt;0,CY25&lt;0,CX25&gt;1-輸入!$E$2),"",IF(1-輸入!$E$2=0,0,SUMPRODUCT($L$2:$L$13*CX25/$BB$2:$BB$13)*輸入!$E$5+SUMPRODUCT($M$2:$M$13*CX25/(1-輸入!$E$2)/$BC$2:$BC$13)*輸入!$E$6+SUMPRODUCT((($L$2:$L$13*CY25)+($M$2:$M$13*CY25/(1-輸入!$E$2)))/輸入!$S$6)*輸入!$E$8))</f>
        <v>3238951.7510441435</v>
      </c>
    </row>
    <row r="26" spans="1:104" s="2" customFormat="1" ht="15" customHeight="1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163"/>
      <c r="AA26" s="163"/>
      <c r="AB26" s="163"/>
      <c r="AC26" s="163"/>
      <c r="AD26" s="163"/>
      <c r="AE26" s="70"/>
      <c r="AF26" s="70"/>
      <c r="AG26" s="70"/>
      <c r="AH26" s="70"/>
      <c r="AI26" s="70"/>
      <c r="AJ26" s="70"/>
      <c r="AK26" s="70"/>
      <c r="AL26" s="156"/>
      <c r="AM26" s="156"/>
      <c r="AN26" s="156"/>
      <c r="AO26" s="156"/>
      <c r="AP26" s="156"/>
      <c r="AQ26" s="156"/>
      <c r="AR26" s="156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64">
        <v>0.24</v>
      </c>
      <c r="CM26" s="64">
        <f>1-輸入!$E$2-CL26</f>
        <v>0.71</v>
      </c>
      <c r="CN26" s="65">
        <f>IF(OR(CL26&lt;0,CM26&lt;0,CL26&gt;1-輸入!$E$2),"",IF(1-輸入!$E$2=0,0,SUMPRODUCT($L$2:$L$13*CL26/$S$2:$S$13)*輸入!$E$5+SUMPRODUCT($M$2:$M$13*CL26/(1-輸入!$E$2)/$T$2:$T$13)*輸入!$E$6+SUMPRODUCT((($L$2:$L$13*CM26)+($M$2:$M$13*CM26/(1-輸入!$E$2)))/輸入!$S$5)*輸入!$E$8))</f>
        <v>3192275.9636057848</v>
      </c>
      <c r="CO26" s="57"/>
      <c r="CP26" s="57"/>
      <c r="CX26" s="39">
        <f t="shared" si="24"/>
        <v>0.24000000000000007</v>
      </c>
      <c r="CY26" s="39">
        <f>1-輸入!$E$2-CX26</f>
        <v>0.70999999999999985</v>
      </c>
      <c r="CZ26" s="40">
        <f>IF(OR(CX26&lt;0,CY26&lt;0,CX26&gt;1-輸入!$E$2),"",IF(1-輸入!$E$2=0,0,SUMPRODUCT($L$2:$L$13*CX26/$BB$2:$BB$13)*輸入!$E$5+SUMPRODUCT($M$2:$M$13*CX26/(1-輸入!$E$2)/$BC$2:$BC$13)*輸入!$E$6+SUMPRODUCT((($L$2:$L$13*CY26)+($M$2:$M$13*CY26/(1-輸入!$E$2)))/輸入!$S$6)*輸入!$E$8))</f>
        <v>3222066.3210820011</v>
      </c>
    </row>
    <row r="27" spans="1:104" s="2" customFormat="1" ht="15" customHeight="1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163"/>
      <c r="AA27" s="163"/>
      <c r="AB27" s="163"/>
      <c r="AC27" s="163"/>
      <c r="AD27" s="163"/>
      <c r="AE27" s="70"/>
      <c r="AF27" s="70"/>
      <c r="AG27" s="70"/>
      <c r="AH27" s="70"/>
      <c r="AI27" s="70"/>
      <c r="AJ27" s="70"/>
      <c r="AK27" s="70"/>
      <c r="AL27" s="156"/>
      <c r="AM27" s="156"/>
      <c r="AN27" s="156"/>
      <c r="AO27" s="156"/>
      <c r="AP27" s="156"/>
      <c r="AQ27" s="156"/>
      <c r="AR27" s="156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64">
        <v>0.25</v>
      </c>
      <c r="CM27" s="64">
        <f>1-輸入!$E$2-CL27</f>
        <v>0.7</v>
      </c>
      <c r="CN27" s="65">
        <f>IF(OR(CL27&lt;0,CM27&lt;0,CL27&gt;1-輸入!$E$2),"",IF(1-輸入!$E$2=0,0,SUMPRODUCT($L$2:$L$13*CL27/$S$2:$S$13)*輸入!$E$5+SUMPRODUCT($M$2:$M$13*CL27/(1-輸入!$E$2)/$T$2:$T$13)*輸入!$E$6+SUMPRODUCT((($L$2:$L$13*CM27)+($M$2:$M$13*CM27/(1-輸入!$E$2)))/輸入!$S$5)*輸入!$E$8))</f>
        <v>3177507.8952674791</v>
      </c>
      <c r="CO27" s="57"/>
      <c r="CP27" s="57"/>
      <c r="CX27" s="39">
        <f t="shared" si="24"/>
        <v>0.25000000000000006</v>
      </c>
      <c r="CY27" s="39">
        <f>1-輸入!$E$2-CX27</f>
        <v>0.7</v>
      </c>
      <c r="CZ27" s="40">
        <f>IF(OR(CX27&lt;0,CY27&lt;0,CX27&gt;1-輸入!$E$2),"",IF(1-輸入!$E$2=0,0,SUMPRODUCT($L$2:$L$13*CX27/$BB$2:$BB$13)*輸入!$E$5+SUMPRODUCT($M$2:$M$13*CX27/(1-輸入!$E$2)/$BC$2:$BC$13)*輸入!$E$6+SUMPRODUCT((($L$2:$L$13*CY27)+($M$2:$M$13*CY27/(1-輸入!$E$2)))/輸入!$S$6)*輸入!$E$8))</f>
        <v>3205180.8911198592</v>
      </c>
    </row>
    <row r="28" spans="1:104" s="2" customFormat="1" ht="15" customHeight="1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163"/>
      <c r="AA28" s="163"/>
      <c r="AB28" s="163"/>
      <c r="AC28" s="163"/>
      <c r="AD28" s="163"/>
      <c r="AE28" s="70"/>
      <c r="AF28" s="70"/>
      <c r="AG28" s="70"/>
      <c r="AH28" s="70"/>
      <c r="AI28" s="70"/>
      <c r="AJ28" s="70"/>
      <c r="AK28" s="70"/>
      <c r="AL28" s="156"/>
      <c r="AM28" s="156"/>
      <c r="AN28" s="156"/>
      <c r="AO28" s="156"/>
      <c r="AP28" s="156"/>
      <c r="AQ28" s="156"/>
      <c r="AR28" s="156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64">
        <v>0.26</v>
      </c>
      <c r="CM28" s="64">
        <f>1-輸入!$E$2-CL28</f>
        <v>0.69</v>
      </c>
      <c r="CN28" s="65">
        <f>IF(OR(CL28&lt;0,CM28&lt;0,CL28&gt;1-輸入!$E$2),"",IF(1-輸入!$E$2=0,0,SUMPRODUCT($L$2:$L$13*CL28/$S$2:$S$13)*輸入!$E$5+SUMPRODUCT($M$2:$M$13*CL28/(1-輸入!$E$2)/$T$2:$T$13)*輸入!$E$6+SUMPRODUCT((($L$2:$L$13*CM28)+($M$2:$M$13*CM28/(1-輸入!$E$2)))/輸入!$S$5)*輸入!$E$8))</f>
        <v>3162739.8269291725</v>
      </c>
      <c r="CO28" s="57"/>
      <c r="CP28" s="57"/>
      <c r="CX28" s="39">
        <f t="shared" si="24"/>
        <v>0.26000000000000006</v>
      </c>
      <c r="CY28" s="39">
        <f>1-輸入!$E$2-CX28</f>
        <v>0.69</v>
      </c>
      <c r="CZ28" s="40">
        <f>IF(OR(CX28&lt;0,CY28&lt;0,CX28&gt;1-輸入!$E$2),"",IF(1-輸入!$E$2=0,0,SUMPRODUCT($L$2:$L$13*CX28/$BB$2:$BB$13)*輸入!$E$5+SUMPRODUCT($M$2:$M$13*CX28/(1-輸入!$E$2)/$BC$2:$BC$13)*輸入!$E$6+SUMPRODUCT((($L$2:$L$13*CY28)+($M$2:$M$13*CY28/(1-輸入!$E$2)))/輸入!$S$6)*輸入!$E$8))</f>
        <v>3188295.4611577154</v>
      </c>
    </row>
    <row r="29" spans="1:104" s="2" customFormat="1" ht="15" customHeight="1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163"/>
      <c r="AA29" s="163"/>
      <c r="AB29" s="163"/>
      <c r="AC29" s="163"/>
      <c r="AD29" s="163"/>
      <c r="AE29" s="70"/>
      <c r="AF29" s="70"/>
      <c r="AG29" s="70"/>
      <c r="AH29" s="70"/>
      <c r="AI29" s="70"/>
      <c r="AJ29" s="70"/>
      <c r="AK29" s="70"/>
      <c r="AL29" s="156"/>
      <c r="AM29" s="156"/>
      <c r="AN29" s="156"/>
      <c r="AO29" s="156"/>
      <c r="AP29" s="156"/>
      <c r="AQ29" s="156"/>
      <c r="AR29" s="156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64">
        <v>0.27</v>
      </c>
      <c r="CM29" s="64">
        <f>1-輸入!$E$2-CL29</f>
        <v>0.67999999999999994</v>
      </c>
      <c r="CN29" s="65">
        <f>IF(OR(CL29&lt;0,CM29&lt;0,CL29&gt;1-輸入!$E$2),"",IF(1-輸入!$E$2=0,0,SUMPRODUCT($L$2:$L$13*CL29/$S$2:$S$13)*輸入!$E$5+SUMPRODUCT($M$2:$M$13*CL29/(1-輸入!$E$2)/$T$2:$T$13)*輸入!$E$6+SUMPRODUCT((($L$2:$L$13*CM29)+($M$2:$M$13*CM29/(1-輸入!$E$2)))/輸入!$S$5)*輸入!$E$8))</f>
        <v>3147971.7585908673</v>
      </c>
      <c r="CO29" s="57"/>
      <c r="CP29" s="57"/>
      <c r="CX29" s="39">
        <f t="shared" si="24"/>
        <v>0.27000000000000007</v>
      </c>
      <c r="CY29" s="39">
        <f>1-輸入!$E$2-CX29</f>
        <v>0.67999999999999994</v>
      </c>
      <c r="CZ29" s="40">
        <f>IF(OR(CX29&lt;0,CY29&lt;0,CX29&gt;1-輸入!$E$2),"",IF(1-輸入!$E$2=0,0,SUMPRODUCT($L$2:$L$13*CX29/$BB$2:$BB$13)*輸入!$E$5+SUMPRODUCT($M$2:$M$13*CX29/(1-輸入!$E$2)/$BC$2:$BC$13)*輸入!$E$6+SUMPRODUCT((($L$2:$L$13*CY29)+($M$2:$M$13*CY29/(1-輸入!$E$2)))/輸入!$S$6)*輸入!$E$8))</f>
        <v>3171410.031195573</v>
      </c>
    </row>
    <row r="30" spans="1:104" s="2" customFormat="1" ht="15" customHeight="1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163"/>
      <c r="AA30" s="163"/>
      <c r="AB30" s="163"/>
      <c r="AC30" s="163"/>
      <c r="AD30" s="163"/>
      <c r="AE30" s="70"/>
      <c r="AF30" s="70"/>
      <c r="AG30" s="70"/>
      <c r="AH30" s="70"/>
      <c r="AI30" s="70"/>
      <c r="AJ30" s="70"/>
      <c r="AK30" s="70"/>
      <c r="AL30" s="156"/>
      <c r="AM30" s="156"/>
      <c r="AN30" s="156"/>
      <c r="AO30" s="156"/>
      <c r="AP30" s="156"/>
      <c r="AQ30" s="156"/>
      <c r="AR30" s="156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64">
        <v>0.28000000000000003</v>
      </c>
      <c r="CM30" s="64">
        <f>1-輸入!$E$2-CL30</f>
        <v>0.66999999999999993</v>
      </c>
      <c r="CN30" s="65">
        <f>IF(OR(CL30&lt;0,CM30&lt;0,CL30&gt;1-輸入!$E$2),"",IF(1-輸入!$E$2=0,0,SUMPRODUCT($L$2:$L$13*CL30/$S$2:$S$13)*輸入!$E$5+SUMPRODUCT($M$2:$M$13*CL30/(1-輸入!$E$2)/$T$2:$T$13)*輸入!$E$6+SUMPRODUCT((($L$2:$L$13*CM30)+($M$2:$M$13*CM30/(1-輸入!$E$2)))/輸入!$S$5)*輸入!$E$8))</f>
        <v>3133203.6902525611</v>
      </c>
      <c r="CO30" s="57"/>
      <c r="CP30" s="57"/>
      <c r="CX30" s="39">
        <f t="shared" si="24"/>
        <v>0.28000000000000008</v>
      </c>
      <c r="CY30" s="39">
        <f>1-輸入!$E$2-CX30</f>
        <v>0.66999999999999993</v>
      </c>
      <c r="CZ30" s="40">
        <f>IF(OR(CX30&lt;0,CY30&lt;0,CX30&gt;1-輸入!$E$2),"",IF(1-輸入!$E$2=0,0,SUMPRODUCT($L$2:$L$13*CX30/$BB$2:$BB$13)*輸入!$E$5+SUMPRODUCT($M$2:$M$13*CX30/(1-輸入!$E$2)/$BC$2:$BC$13)*輸入!$E$6+SUMPRODUCT((($L$2:$L$13*CY30)+($M$2:$M$13*CY30/(1-輸入!$E$2)))/輸入!$S$6)*輸入!$E$8))</f>
        <v>3154524.6012334302</v>
      </c>
    </row>
    <row r="31" spans="1:104" s="2" customFormat="1" ht="15" customHeight="1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163"/>
      <c r="AA31" s="163"/>
      <c r="AB31" s="163"/>
      <c r="AC31" s="163"/>
      <c r="AD31" s="163"/>
      <c r="AE31" s="70"/>
      <c r="AF31" s="70"/>
      <c r="AG31" s="70"/>
      <c r="AH31" s="70"/>
      <c r="AI31" s="70"/>
      <c r="AJ31" s="70"/>
      <c r="AK31" s="70"/>
      <c r="AL31" s="156"/>
      <c r="AM31" s="156"/>
      <c r="AN31" s="156"/>
      <c r="AO31" s="156"/>
      <c r="AP31" s="156"/>
      <c r="AQ31" s="156"/>
      <c r="AR31" s="156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64">
        <v>0.28999999999999998</v>
      </c>
      <c r="CM31" s="64">
        <f>1-輸入!$E$2-CL31</f>
        <v>0.65999999999999992</v>
      </c>
      <c r="CN31" s="65">
        <f>IF(OR(CL31&lt;0,CM31&lt;0,CL31&gt;1-輸入!$E$2),"",IF(1-輸入!$E$2=0,0,SUMPRODUCT($L$2:$L$13*CL31/$S$2:$S$13)*輸入!$E$5+SUMPRODUCT($M$2:$M$13*CL31/(1-輸入!$E$2)/$T$2:$T$13)*輸入!$E$6+SUMPRODUCT((($L$2:$L$13*CM31)+($M$2:$M$13*CM31/(1-輸入!$E$2)))/輸入!$S$5)*輸入!$E$8))</f>
        <v>3118435.6219142545</v>
      </c>
      <c r="CO31" s="57"/>
      <c r="CP31" s="57"/>
      <c r="CX31" s="39">
        <f t="shared" si="24"/>
        <v>0.29000000000000009</v>
      </c>
      <c r="CY31" s="39">
        <f>1-輸入!$E$2-CX31</f>
        <v>0.65999999999999992</v>
      </c>
      <c r="CZ31" s="40">
        <f>IF(OR(CX31&lt;0,CY31&lt;0,CX31&gt;1-輸入!$E$2),"",IF(1-輸入!$E$2=0,0,SUMPRODUCT($L$2:$L$13*CX31/$BB$2:$BB$13)*輸入!$E$5+SUMPRODUCT($M$2:$M$13*CX31/(1-輸入!$E$2)/$BC$2:$BC$13)*輸入!$E$6+SUMPRODUCT((($L$2:$L$13*CY31)+($M$2:$M$13*CY31/(1-輸入!$E$2)))/輸入!$S$6)*輸入!$E$8))</f>
        <v>3137639.1712712878</v>
      </c>
    </row>
    <row r="32" spans="1:104" s="2" customFormat="1" ht="15" customHeight="1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163"/>
      <c r="AA32" s="163"/>
      <c r="AB32" s="163"/>
      <c r="AC32" s="163"/>
      <c r="AD32" s="163"/>
      <c r="AE32" s="70"/>
      <c r="AF32" s="70"/>
      <c r="AG32" s="70"/>
      <c r="AH32" s="70"/>
      <c r="AI32" s="70"/>
      <c r="AJ32" s="70"/>
      <c r="AK32" s="70"/>
      <c r="AL32" s="156"/>
      <c r="AM32" s="156"/>
      <c r="AN32" s="156"/>
      <c r="AO32" s="156"/>
      <c r="AP32" s="156"/>
      <c r="AQ32" s="156"/>
      <c r="AR32" s="156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64">
        <v>0.3</v>
      </c>
      <c r="CM32" s="64">
        <f>1-輸入!$E$2-CL32</f>
        <v>0.64999999999999991</v>
      </c>
      <c r="CN32" s="65">
        <f>IF(OR(CL32&lt;0,CM32&lt;0,CL32&gt;1-輸入!$E$2),"",IF(1-輸入!$E$2=0,0,SUMPRODUCT($L$2:$L$13*CL32/$S$2:$S$13)*輸入!$E$5+SUMPRODUCT($M$2:$M$13*CL32/(1-輸入!$E$2)/$T$2:$T$13)*輸入!$E$6+SUMPRODUCT((($L$2:$L$13*CM32)+($M$2:$M$13*CM32/(1-輸入!$E$2)))/輸入!$S$5)*輸入!$E$8))</f>
        <v>3103667.5535759488</v>
      </c>
      <c r="CO32" s="57"/>
      <c r="CP32" s="57"/>
      <c r="CX32" s="39">
        <f t="shared" si="24"/>
        <v>0.3000000000000001</v>
      </c>
      <c r="CY32" s="39">
        <f>1-輸入!$E$2-CX32</f>
        <v>0.64999999999999991</v>
      </c>
      <c r="CZ32" s="40">
        <f>IF(OR(CX32&lt;0,CY32&lt;0,CX32&gt;1-輸入!$E$2),"",IF(1-輸入!$E$2=0,0,SUMPRODUCT($L$2:$L$13*CX32/$BB$2:$BB$13)*輸入!$E$5+SUMPRODUCT($M$2:$M$13*CX32/(1-輸入!$E$2)/$BC$2:$BC$13)*輸入!$E$6+SUMPRODUCT((($L$2:$L$13*CY32)+($M$2:$M$13*CY32/(1-輸入!$E$2)))/輸入!$S$6)*輸入!$E$8))</f>
        <v>3120753.741309145</v>
      </c>
    </row>
    <row r="33" spans="1:104" s="2" customFormat="1" ht="15" customHeight="1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163"/>
      <c r="AA33" s="163"/>
      <c r="AB33" s="163"/>
      <c r="AC33" s="163"/>
      <c r="AD33" s="163"/>
      <c r="AE33" s="70"/>
      <c r="AF33" s="70"/>
      <c r="AG33" s="70"/>
      <c r="AH33" s="70"/>
      <c r="AI33" s="70"/>
      <c r="AJ33" s="70"/>
      <c r="AK33" s="70"/>
      <c r="AL33" s="156"/>
      <c r="AM33" s="156"/>
      <c r="AN33" s="156"/>
      <c r="AO33" s="156"/>
      <c r="AP33" s="156"/>
      <c r="AQ33" s="156"/>
      <c r="AR33" s="156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64">
        <v>0.31</v>
      </c>
      <c r="CM33" s="64">
        <f>1-輸入!$E$2-CL33</f>
        <v>0.6399999999999999</v>
      </c>
      <c r="CN33" s="65">
        <f>IF(OR(CL33&lt;0,CM33&lt;0,CL33&gt;1-輸入!$E$2),"",IF(1-輸入!$E$2=0,0,SUMPRODUCT($L$2:$L$13*CL33/$S$2:$S$13)*輸入!$E$5+SUMPRODUCT($M$2:$M$13*CL33/(1-輸入!$E$2)/$T$2:$T$13)*輸入!$E$6+SUMPRODUCT((($L$2:$L$13*CM33)+($M$2:$M$13*CM33/(1-輸入!$E$2)))/輸入!$S$5)*輸入!$E$8))</f>
        <v>3088899.4852376427</v>
      </c>
      <c r="CO33" s="57"/>
      <c r="CP33" s="57"/>
      <c r="CX33" s="39">
        <f t="shared" si="24"/>
        <v>0.31000000000000011</v>
      </c>
      <c r="CY33" s="39">
        <f>1-輸入!$E$2-CX33</f>
        <v>0.6399999999999999</v>
      </c>
      <c r="CZ33" s="40">
        <f>IF(OR(CX33&lt;0,CY33&lt;0,CX33&gt;1-輸入!$E$2),"",IF(1-輸入!$E$2=0,0,SUMPRODUCT($L$2:$L$13*CX33/$BB$2:$BB$13)*輸入!$E$5+SUMPRODUCT($M$2:$M$13*CX33/(1-輸入!$E$2)/$BC$2:$BC$13)*輸入!$E$6+SUMPRODUCT((($L$2:$L$13*CY33)+($M$2:$M$13*CY33/(1-輸入!$E$2)))/輸入!$S$6)*輸入!$E$8))</f>
        <v>3103868.3113470026</v>
      </c>
    </row>
    <row r="34" spans="1:104" s="2" customFormat="1" ht="15" customHeight="1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163"/>
      <c r="AA34" s="163"/>
      <c r="AB34" s="163"/>
      <c r="AC34" s="163"/>
      <c r="AD34" s="163"/>
      <c r="AE34" s="70"/>
      <c r="AF34" s="70"/>
      <c r="AG34" s="70"/>
      <c r="AH34" s="70"/>
      <c r="AI34" s="70"/>
      <c r="AJ34" s="70"/>
      <c r="AK34" s="70"/>
      <c r="AL34" s="156"/>
      <c r="AM34" s="156"/>
      <c r="AN34" s="156"/>
      <c r="AO34" s="156"/>
      <c r="AP34" s="156"/>
      <c r="AQ34" s="156"/>
      <c r="AR34" s="156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64">
        <v>0.32</v>
      </c>
      <c r="CM34" s="64">
        <f>1-輸入!$E$2-CL34</f>
        <v>0.62999999999999989</v>
      </c>
      <c r="CN34" s="65">
        <f>IF(OR(CL34&lt;0,CM34&lt;0,CL34&gt;1-輸入!$E$2),"",IF(1-輸入!$E$2=0,0,SUMPRODUCT($L$2:$L$13*CL34/$S$2:$S$13)*輸入!$E$5+SUMPRODUCT($M$2:$M$13*CL34/(1-輸入!$E$2)/$T$2:$T$13)*輸入!$E$6+SUMPRODUCT((($L$2:$L$13*CM34)+($M$2:$M$13*CM34/(1-輸入!$E$2)))/輸入!$S$5)*輸入!$E$8))</f>
        <v>3074131.4168993374</v>
      </c>
      <c r="CO34" s="57"/>
      <c r="CP34" s="57"/>
      <c r="CX34" s="39">
        <f t="shared" si="24"/>
        <v>0.32000000000000012</v>
      </c>
      <c r="CY34" s="39">
        <f>1-輸入!$E$2-CX34</f>
        <v>0.62999999999999989</v>
      </c>
      <c r="CZ34" s="40">
        <f>IF(OR(CX34&lt;0,CY34&lt;0,CX34&gt;1-輸入!$E$2),"",IF(1-輸入!$E$2=0,0,SUMPRODUCT($L$2:$L$13*CX34/$BB$2:$BB$13)*輸入!$E$5+SUMPRODUCT($M$2:$M$13*CX34/(1-輸入!$E$2)/$BC$2:$BC$13)*輸入!$E$6+SUMPRODUCT((($L$2:$L$13*CY34)+($M$2:$M$13*CY34/(1-輸入!$E$2)))/輸入!$S$6)*輸入!$E$8))</f>
        <v>3086982.8813848598</v>
      </c>
    </row>
    <row r="35" spans="1:104" s="2" customFormat="1" ht="15" customHeight="1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163"/>
      <c r="AA35" s="163"/>
      <c r="AB35" s="163"/>
      <c r="AC35" s="163"/>
      <c r="AD35" s="163"/>
      <c r="AE35" s="70"/>
      <c r="AF35" s="70"/>
      <c r="AG35" s="70"/>
      <c r="AH35" s="70"/>
      <c r="AI35" s="70"/>
      <c r="AJ35" s="70"/>
      <c r="AK35" s="70"/>
      <c r="AL35" s="156"/>
      <c r="AM35" s="156"/>
      <c r="AN35" s="156"/>
      <c r="AO35" s="156"/>
      <c r="AP35" s="156"/>
      <c r="AQ35" s="156"/>
      <c r="AR35" s="156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64">
        <v>0.33</v>
      </c>
      <c r="CM35" s="64">
        <f>1-輸入!$E$2-CL35</f>
        <v>0.61999999999999988</v>
      </c>
      <c r="CN35" s="65">
        <f>IF(OR(CL35&lt;0,CM35&lt;0,CL35&gt;1-輸入!$E$2),"",IF(1-輸入!$E$2=0,0,SUMPRODUCT($L$2:$L$13*CL35/$S$2:$S$13)*輸入!$E$5+SUMPRODUCT($M$2:$M$13*CL35/(1-輸入!$E$2)/$T$2:$T$13)*輸入!$E$6+SUMPRODUCT((($L$2:$L$13*CM35)+($M$2:$M$13*CM35/(1-輸入!$E$2)))/輸入!$S$5)*輸入!$E$8))</f>
        <v>3059363.3485610303</v>
      </c>
      <c r="CO35" s="57"/>
      <c r="CP35" s="57"/>
      <c r="CX35" s="39">
        <f t="shared" ref="CX35:CX66" si="25">CX34+0.01</f>
        <v>0.33000000000000013</v>
      </c>
      <c r="CY35" s="39">
        <f>1-輸入!$E$2-CX35</f>
        <v>0.61999999999999988</v>
      </c>
      <c r="CZ35" s="40">
        <f>IF(OR(CX35&lt;0,CY35&lt;0,CX35&gt;1-輸入!$E$2),"",IF(1-輸入!$E$2=0,0,SUMPRODUCT($L$2:$L$13*CX35/$BB$2:$BB$13)*輸入!$E$5+SUMPRODUCT($M$2:$M$13*CX35/(1-輸入!$E$2)/$BC$2:$BC$13)*輸入!$E$6+SUMPRODUCT((($L$2:$L$13*CY35)+($M$2:$M$13*CY35/(1-輸入!$E$2)))/輸入!$S$6)*輸入!$E$8))</f>
        <v>3070097.4514227165</v>
      </c>
    </row>
    <row r="36" spans="1:104" s="2" customFormat="1" ht="15" customHeight="1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163"/>
      <c r="AA36" s="163"/>
      <c r="AB36" s="163"/>
      <c r="AC36" s="163"/>
      <c r="AD36" s="163"/>
      <c r="AE36" s="70"/>
      <c r="AF36" s="70"/>
      <c r="AG36" s="70"/>
      <c r="AH36" s="70"/>
      <c r="AI36" s="70"/>
      <c r="AJ36" s="70"/>
      <c r="AK36" s="70"/>
      <c r="AL36" s="156"/>
      <c r="AM36" s="156"/>
      <c r="AN36" s="156"/>
      <c r="AO36" s="156"/>
      <c r="AP36" s="156"/>
      <c r="AQ36" s="156"/>
      <c r="AR36" s="156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64">
        <v>0.34</v>
      </c>
      <c r="CM36" s="64">
        <f>1-輸入!$E$2-CL36</f>
        <v>0.60999999999999988</v>
      </c>
      <c r="CN36" s="65">
        <f>IF(OR(CL36&lt;0,CM36&lt;0,CL36&gt;1-輸入!$E$2),"",IF(1-輸入!$E$2=0,0,SUMPRODUCT($L$2:$L$13*CL36/$S$2:$S$13)*輸入!$E$5+SUMPRODUCT($M$2:$M$13*CL36/(1-輸入!$E$2)/$T$2:$T$13)*輸入!$E$6+SUMPRODUCT((($L$2:$L$13*CM36)+($M$2:$M$13*CM36/(1-輸入!$E$2)))/輸入!$S$5)*輸入!$E$8))</f>
        <v>3044595.2802227251</v>
      </c>
      <c r="CO36" s="57"/>
      <c r="CP36" s="57"/>
      <c r="CX36" s="39">
        <f t="shared" si="25"/>
        <v>0.34000000000000014</v>
      </c>
      <c r="CY36" s="39">
        <f>1-輸入!$E$2-CX36</f>
        <v>0.60999999999999988</v>
      </c>
      <c r="CZ36" s="40">
        <f>IF(OR(CX36&lt;0,CY36&lt;0,CX36&gt;1-輸入!$E$2),"",IF(1-輸入!$E$2=0,0,SUMPRODUCT($L$2:$L$13*CX36/$BB$2:$BB$13)*輸入!$E$5+SUMPRODUCT($M$2:$M$13*CX36/(1-輸入!$E$2)/$BC$2:$BC$13)*輸入!$E$6+SUMPRODUCT((($L$2:$L$13*CY36)+($M$2:$M$13*CY36/(1-輸入!$E$2)))/輸入!$S$6)*輸入!$E$8))</f>
        <v>3053212.0214605737</v>
      </c>
    </row>
    <row r="37" spans="1:104" s="2" customFormat="1" ht="15" customHeight="1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163"/>
      <c r="AA37" s="163"/>
      <c r="AB37" s="163"/>
      <c r="AC37" s="163"/>
      <c r="AD37" s="163"/>
      <c r="AE37" s="70"/>
      <c r="AF37" s="70"/>
      <c r="AG37" s="70"/>
      <c r="AH37" s="70"/>
      <c r="AI37" s="70"/>
      <c r="AJ37" s="70"/>
      <c r="AK37" s="70"/>
      <c r="AL37" s="156"/>
      <c r="AM37" s="156"/>
      <c r="AN37" s="156"/>
      <c r="AO37" s="156"/>
      <c r="AP37" s="156"/>
      <c r="AQ37" s="156"/>
      <c r="AR37" s="156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64">
        <v>0.35</v>
      </c>
      <c r="CM37" s="64">
        <f>1-輸入!$E$2-CL37</f>
        <v>0.6</v>
      </c>
      <c r="CN37" s="65">
        <f>IF(OR(CL37&lt;0,CM37&lt;0,CL37&gt;1-輸入!$E$2),"",IF(1-輸入!$E$2=0,0,SUMPRODUCT($L$2:$L$13*CL37/$S$2:$S$13)*輸入!$E$5+SUMPRODUCT($M$2:$M$13*CL37/(1-輸入!$E$2)/$T$2:$T$13)*輸入!$E$6+SUMPRODUCT((($L$2:$L$13*CM37)+($M$2:$M$13*CM37/(1-輸入!$E$2)))/輸入!$S$5)*輸入!$E$8))</f>
        <v>3029827.2118844194</v>
      </c>
      <c r="CO37" s="57"/>
      <c r="CP37" s="57"/>
      <c r="CX37" s="39">
        <f t="shared" si="25"/>
        <v>0.35000000000000014</v>
      </c>
      <c r="CY37" s="39">
        <f>1-輸入!$E$2-CX37</f>
        <v>0.59999999999999987</v>
      </c>
      <c r="CZ37" s="40">
        <f>IF(OR(CX37&lt;0,CY37&lt;0,CX37&gt;1-輸入!$E$2),"",IF(1-輸入!$E$2=0,0,SUMPRODUCT($L$2:$L$13*CX37/$BB$2:$BB$13)*輸入!$E$5+SUMPRODUCT($M$2:$M$13*CX37/(1-輸入!$E$2)/$BC$2:$BC$13)*輸入!$E$6+SUMPRODUCT((($L$2:$L$13*CY37)+($M$2:$M$13*CY37/(1-輸入!$E$2)))/輸入!$S$6)*輸入!$E$8))</f>
        <v>3036326.5914984313</v>
      </c>
    </row>
    <row r="38" spans="1:104" s="2" customFormat="1" ht="15" customHeight="1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163"/>
      <c r="AA38" s="163"/>
      <c r="AB38" s="163"/>
      <c r="AC38" s="163"/>
      <c r="AD38" s="163"/>
      <c r="AE38" s="70"/>
      <c r="AF38" s="70"/>
      <c r="AG38" s="70"/>
      <c r="AH38" s="70"/>
      <c r="AI38" s="70"/>
      <c r="AJ38" s="70"/>
      <c r="AK38" s="70"/>
      <c r="AL38" s="156"/>
      <c r="AM38" s="156"/>
      <c r="AN38" s="156"/>
      <c r="AO38" s="156"/>
      <c r="AP38" s="156"/>
      <c r="AQ38" s="156"/>
      <c r="AR38" s="156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64">
        <v>0.36</v>
      </c>
      <c r="CM38" s="64">
        <f>1-輸入!$E$2-CL38</f>
        <v>0.59</v>
      </c>
      <c r="CN38" s="65">
        <f>IF(OR(CL38&lt;0,CM38&lt;0,CL38&gt;1-輸入!$E$2),"",IF(1-輸入!$E$2=0,0,SUMPRODUCT($L$2:$L$13*CL38/$S$2:$S$13)*輸入!$E$5+SUMPRODUCT($M$2:$M$13*CL38/(1-輸入!$E$2)/$T$2:$T$13)*輸入!$E$6+SUMPRODUCT((($L$2:$L$13*CM38)+($M$2:$M$13*CM38/(1-輸入!$E$2)))/輸入!$S$5)*輸入!$E$8))</f>
        <v>3015059.1435461133</v>
      </c>
      <c r="CO38" s="57"/>
      <c r="CP38" s="57"/>
      <c r="CX38" s="39">
        <f t="shared" si="25"/>
        <v>0.36000000000000015</v>
      </c>
      <c r="CY38" s="39">
        <f>1-輸入!$E$2-CX38</f>
        <v>0.58999999999999986</v>
      </c>
      <c r="CZ38" s="40">
        <f>IF(OR(CX38&lt;0,CY38&lt;0,CX38&gt;1-輸入!$E$2),"",IF(1-輸入!$E$2=0,0,SUMPRODUCT($L$2:$L$13*CX38/$BB$2:$BB$13)*輸入!$E$5+SUMPRODUCT($M$2:$M$13*CX38/(1-輸入!$E$2)/$BC$2:$BC$13)*輸入!$E$6+SUMPRODUCT((($L$2:$L$13*CY38)+($M$2:$M$13*CY38/(1-輸入!$E$2)))/輸入!$S$6)*輸入!$E$8))</f>
        <v>3019441.1615362884</v>
      </c>
    </row>
    <row r="39" spans="1:104" s="2" customFormat="1" ht="15" customHeight="1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163"/>
      <c r="AA39" s="163"/>
      <c r="AB39" s="163"/>
      <c r="AC39" s="163"/>
      <c r="AD39" s="163"/>
      <c r="AE39" s="70"/>
      <c r="AF39" s="70"/>
      <c r="AG39" s="70"/>
      <c r="AH39" s="70"/>
      <c r="AI39" s="70"/>
      <c r="AJ39" s="70"/>
      <c r="AK39" s="70"/>
      <c r="AL39" s="156"/>
      <c r="AM39" s="156"/>
      <c r="AN39" s="156"/>
      <c r="AO39" s="156"/>
      <c r="AP39" s="156"/>
      <c r="AQ39" s="156"/>
      <c r="AR39" s="156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64">
        <v>0.37</v>
      </c>
      <c r="CM39" s="64">
        <f>1-輸入!$E$2-CL39</f>
        <v>0.57999999999999996</v>
      </c>
      <c r="CN39" s="65">
        <f>IF(OR(CL39&lt;0,CM39&lt;0,CL39&gt;1-輸入!$E$2),"",IF(1-輸入!$E$2=0,0,SUMPRODUCT($L$2:$L$13*CL39/$S$2:$S$13)*輸入!$E$5+SUMPRODUCT($M$2:$M$13*CL39/(1-輸入!$E$2)/$T$2:$T$13)*輸入!$E$6+SUMPRODUCT((($L$2:$L$13*CM39)+($M$2:$M$13*CM39/(1-輸入!$E$2)))/輸入!$S$5)*輸入!$E$8))</f>
        <v>3000291.0752078071</v>
      </c>
      <c r="CO39" s="57"/>
      <c r="CP39" s="57"/>
      <c r="CX39" s="39">
        <f t="shared" si="25"/>
        <v>0.37000000000000016</v>
      </c>
      <c r="CY39" s="39">
        <f>1-輸入!$E$2-CX39</f>
        <v>0.57999999999999985</v>
      </c>
      <c r="CZ39" s="40">
        <f>IF(OR(CX39&lt;0,CY39&lt;0,CX39&gt;1-輸入!$E$2),"",IF(1-輸入!$E$2=0,0,SUMPRODUCT($L$2:$L$13*CX39/$BB$2:$BB$13)*輸入!$E$5+SUMPRODUCT($M$2:$M$13*CX39/(1-輸入!$E$2)/$BC$2:$BC$13)*輸入!$E$6+SUMPRODUCT((($L$2:$L$13*CY39)+($M$2:$M$13*CY39/(1-輸入!$E$2)))/輸入!$S$6)*輸入!$E$8))</f>
        <v>3002555.7315741456</v>
      </c>
    </row>
    <row r="40" spans="1:104" s="2" customFormat="1" ht="15" customHeight="1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163"/>
      <c r="AA40" s="163"/>
      <c r="AB40" s="163"/>
      <c r="AC40" s="163"/>
      <c r="AD40" s="163"/>
      <c r="AE40" s="70"/>
      <c r="AF40" s="70"/>
      <c r="AG40" s="70"/>
      <c r="AH40" s="70"/>
      <c r="AI40" s="70"/>
      <c r="AJ40" s="70"/>
      <c r="AK40" s="70"/>
      <c r="AL40" s="156"/>
      <c r="AM40" s="156"/>
      <c r="AN40" s="156"/>
      <c r="AO40" s="156"/>
      <c r="AP40" s="156"/>
      <c r="AQ40" s="156"/>
      <c r="AR40" s="156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64">
        <v>0.38</v>
      </c>
      <c r="CM40" s="64">
        <f>1-輸入!$E$2-CL40</f>
        <v>0.56999999999999995</v>
      </c>
      <c r="CN40" s="65">
        <f>IF(OR(CL40&lt;0,CM40&lt;0,CL40&gt;1-輸入!$E$2),"",IF(1-輸入!$E$2=0,0,SUMPRODUCT($L$2:$L$13*CL40/$S$2:$S$13)*輸入!$E$5+SUMPRODUCT($M$2:$M$13*CL40/(1-輸入!$E$2)/$T$2:$T$13)*輸入!$E$6+SUMPRODUCT((($L$2:$L$13*CM40)+($M$2:$M$13*CM40/(1-輸入!$E$2)))/輸入!$S$5)*輸入!$E$8))</f>
        <v>2985523.006869501</v>
      </c>
      <c r="CO40" s="57"/>
      <c r="CP40" s="57"/>
      <c r="CX40" s="39">
        <f t="shared" si="25"/>
        <v>0.38000000000000017</v>
      </c>
      <c r="CY40" s="39">
        <f>1-輸入!$E$2-CX40</f>
        <v>0.56999999999999984</v>
      </c>
      <c r="CZ40" s="40">
        <f>IF(OR(CX40&lt;0,CY40&lt;0,CX40&gt;1-輸入!$E$2),"",IF(1-輸入!$E$2=0,0,SUMPRODUCT($L$2:$L$13*CX40/$BB$2:$BB$13)*輸入!$E$5+SUMPRODUCT($M$2:$M$13*CX40/(1-輸入!$E$2)/$BC$2:$BC$13)*輸入!$E$6+SUMPRODUCT((($L$2:$L$13*CY40)+($M$2:$M$13*CY40/(1-輸入!$E$2)))/輸入!$S$6)*輸入!$E$8))</f>
        <v>2985670.3016120037</v>
      </c>
    </row>
    <row r="41" spans="1:104" s="2" customFormat="1" ht="15" customHeight="1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163"/>
      <c r="AA41" s="163"/>
      <c r="AB41" s="163"/>
      <c r="AC41" s="163"/>
      <c r="AD41" s="163"/>
      <c r="AE41" s="70"/>
      <c r="AF41" s="70"/>
      <c r="AG41" s="70"/>
      <c r="AH41" s="70"/>
      <c r="AI41" s="70"/>
      <c r="AJ41" s="70"/>
      <c r="AK41" s="70"/>
      <c r="AL41" s="156"/>
      <c r="AM41" s="156"/>
      <c r="AN41" s="156"/>
      <c r="AO41" s="156"/>
      <c r="AP41" s="156"/>
      <c r="AQ41" s="156"/>
      <c r="AR41" s="156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64">
        <v>0.39</v>
      </c>
      <c r="CM41" s="64">
        <f>1-輸入!$E$2-CL41</f>
        <v>0.55999999999999994</v>
      </c>
      <c r="CN41" s="65">
        <f>IF(OR(CL41&lt;0,CM41&lt;0,CL41&gt;1-輸入!$E$2),"",IF(1-輸入!$E$2=0,0,SUMPRODUCT($L$2:$L$13*CL41/$S$2:$S$13)*輸入!$E$5+SUMPRODUCT($M$2:$M$13*CL41/(1-輸入!$E$2)/$T$2:$T$13)*輸入!$E$6+SUMPRODUCT((($L$2:$L$13*CM41)+($M$2:$M$13*CM41/(1-輸入!$E$2)))/輸入!$S$5)*輸入!$E$8))</f>
        <v>2970754.9385311953</v>
      </c>
      <c r="CO41" s="57"/>
      <c r="CP41" s="57"/>
      <c r="CX41" s="39">
        <f t="shared" si="25"/>
        <v>0.39000000000000018</v>
      </c>
      <c r="CY41" s="39">
        <f>1-輸入!$E$2-CX41</f>
        <v>0.55999999999999983</v>
      </c>
      <c r="CZ41" s="40">
        <f>IF(OR(CX41&lt;0,CY41&lt;0,CX41&gt;1-輸入!$E$2),"",IF(1-輸入!$E$2=0,0,SUMPRODUCT($L$2:$L$13*CX41/$BB$2:$BB$13)*輸入!$E$5+SUMPRODUCT($M$2:$M$13*CX41/(1-輸入!$E$2)/$BC$2:$BC$13)*輸入!$E$6+SUMPRODUCT((($L$2:$L$13*CY41)+($M$2:$M$13*CY41/(1-輸入!$E$2)))/輸入!$S$6)*輸入!$E$8))</f>
        <v>2968784.8716498604</v>
      </c>
    </row>
    <row r="42" spans="1:104" s="2" customFormat="1" ht="15" customHeight="1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163"/>
      <c r="AA42" s="163"/>
      <c r="AB42" s="163"/>
      <c r="AC42" s="163"/>
      <c r="AD42" s="163"/>
      <c r="AE42" s="70"/>
      <c r="AF42" s="70"/>
      <c r="AG42" s="70"/>
      <c r="AH42" s="70"/>
      <c r="AI42" s="70"/>
      <c r="AJ42" s="70"/>
      <c r="AK42" s="70"/>
      <c r="AL42" s="156"/>
      <c r="AM42" s="156"/>
      <c r="AN42" s="156"/>
      <c r="AO42" s="156"/>
      <c r="AP42" s="156"/>
      <c r="AQ42" s="156"/>
      <c r="AR42" s="156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64">
        <v>0.4</v>
      </c>
      <c r="CM42" s="64">
        <f>1-輸入!$E$2-CL42</f>
        <v>0.54999999999999993</v>
      </c>
      <c r="CN42" s="65">
        <f>IF(OR(CL42&lt;0,CM42&lt;0,CL42&gt;1-輸入!$E$2),"",IF(1-輸入!$E$2=0,0,SUMPRODUCT($L$2:$L$13*CL42/$S$2:$S$13)*輸入!$E$5+SUMPRODUCT($M$2:$M$13*CL42/(1-輸入!$E$2)/$T$2:$T$13)*輸入!$E$6+SUMPRODUCT((($L$2:$L$13*CM42)+($M$2:$M$13*CM42/(1-輸入!$E$2)))/輸入!$S$5)*輸入!$E$8))</f>
        <v>2955986.8701928901</v>
      </c>
      <c r="CO42" s="57"/>
      <c r="CP42" s="57"/>
      <c r="CX42" s="39">
        <f t="shared" si="25"/>
        <v>0.40000000000000019</v>
      </c>
      <c r="CY42" s="39">
        <f>1-輸入!$E$2-CX42</f>
        <v>0.54999999999999982</v>
      </c>
      <c r="CZ42" s="40">
        <f>IF(OR(CX42&lt;0,CY42&lt;0,CX42&gt;1-輸入!$E$2),"",IF(1-輸入!$E$2=0,0,SUMPRODUCT($L$2:$L$13*CX42/$BB$2:$BB$13)*輸入!$E$5+SUMPRODUCT($M$2:$M$13*CX42/(1-輸入!$E$2)/$BC$2:$BC$13)*輸入!$E$6+SUMPRODUCT((($L$2:$L$13*CY42)+($M$2:$M$13*CY42/(1-輸入!$E$2)))/輸入!$S$6)*輸入!$E$8))</f>
        <v>2951899.441687718</v>
      </c>
    </row>
    <row r="43" spans="1:104" s="2" customFormat="1" ht="15" customHeight="1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163"/>
      <c r="AA43" s="163"/>
      <c r="AB43" s="163"/>
      <c r="AC43" s="163"/>
      <c r="AD43" s="163"/>
      <c r="AE43" s="70"/>
      <c r="AF43" s="70"/>
      <c r="AG43" s="70"/>
      <c r="AH43" s="70"/>
      <c r="AI43" s="70"/>
      <c r="AJ43" s="70"/>
      <c r="AK43" s="70"/>
      <c r="AL43" s="156"/>
      <c r="AM43" s="156"/>
      <c r="AN43" s="156"/>
      <c r="AO43" s="156"/>
      <c r="AP43" s="156"/>
      <c r="AQ43" s="156"/>
      <c r="AR43" s="156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64">
        <v>0.41</v>
      </c>
      <c r="CM43" s="64">
        <f>1-輸入!$E$2-CL43</f>
        <v>0.54</v>
      </c>
      <c r="CN43" s="65">
        <f>IF(OR(CL43&lt;0,CM43&lt;0,CL43&gt;1-輸入!$E$2),"",IF(1-輸入!$E$2=0,0,SUMPRODUCT($L$2:$L$13*CL43/$S$2:$S$13)*輸入!$E$5+SUMPRODUCT($M$2:$M$13*CL43/(1-輸入!$E$2)/$T$2:$T$13)*輸入!$E$6+SUMPRODUCT((($L$2:$L$13*CM43)+($M$2:$M$13*CM43/(1-輸入!$E$2)))/輸入!$S$5)*輸入!$E$8))</f>
        <v>2941218.8018545834</v>
      </c>
      <c r="CO43" s="57"/>
      <c r="CP43" s="57"/>
      <c r="CX43" s="39">
        <f t="shared" si="25"/>
        <v>0.4100000000000002</v>
      </c>
      <c r="CY43" s="39">
        <f>1-輸入!$E$2-CX43</f>
        <v>0.53999999999999981</v>
      </c>
      <c r="CZ43" s="40">
        <f>IF(OR(CX43&lt;0,CY43&lt;0,CX43&gt;1-輸入!$E$2),"",IF(1-輸入!$E$2=0,0,SUMPRODUCT($L$2:$L$13*CX43/$BB$2:$BB$13)*輸入!$E$5+SUMPRODUCT($M$2:$M$13*CX43/(1-輸入!$E$2)/$BC$2:$BC$13)*輸入!$E$6+SUMPRODUCT((($L$2:$L$13*CY43)+($M$2:$M$13*CY43/(1-輸入!$E$2)))/輸入!$S$6)*輸入!$E$8))</f>
        <v>2935014.0117255747</v>
      </c>
    </row>
    <row r="44" spans="1:104" s="2" customFormat="1" ht="15" customHeight="1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163"/>
      <c r="AA44" s="163"/>
      <c r="AB44" s="163"/>
      <c r="AC44" s="163"/>
      <c r="AD44" s="163"/>
      <c r="AE44" s="70"/>
      <c r="AF44" s="70"/>
      <c r="AG44" s="70"/>
      <c r="AH44" s="70"/>
      <c r="AI44" s="70"/>
      <c r="AJ44" s="70"/>
      <c r="AK44" s="70"/>
      <c r="AL44" s="156"/>
      <c r="AM44" s="156"/>
      <c r="AN44" s="156"/>
      <c r="AO44" s="156"/>
      <c r="AP44" s="156"/>
      <c r="AQ44" s="156"/>
      <c r="AR44" s="156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64">
        <v>0.42</v>
      </c>
      <c r="CM44" s="64">
        <f>1-輸入!$E$2-CL44</f>
        <v>0.53</v>
      </c>
      <c r="CN44" s="65">
        <f>IF(OR(CL44&lt;0,CM44&lt;0,CL44&gt;1-輸入!$E$2),"",IF(1-輸入!$E$2=0,0,SUMPRODUCT($L$2:$L$13*CL44/$S$2:$S$13)*輸入!$E$5+SUMPRODUCT($M$2:$M$13*CL44/(1-輸入!$E$2)/$T$2:$T$13)*輸入!$E$6+SUMPRODUCT((($L$2:$L$13*CM44)+($M$2:$M$13*CM44/(1-輸入!$E$2)))/輸入!$S$5)*輸入!$E$8))</f>
        <v>2926450.7335162782</v>
      </c>
      <c r="CO44" s="57"/>
      <c r="CP44" s="57"/>
      <c r="CX44" s="39">
        <f t="shared" si="25"/>
        <v>0.42000000000000021</v>
      </c>
      <c r="CY44" s="39">
        <f>1-輸入!$E$2-CX44</f>
        <v>0.5299999999999998</v>
      </c>
      <c r="CZ44" s="40">
        <f>IF(OR(CX44&lt;0,CY44&lt;0,CX44&gt;1-輸入!$E$2),"",IF(1-輸入!$E$2=0,0,SUMPRODUCT($L$2:$L$13*CX44/$BB$2:$BB$13)*輸入!$E$5+SUMPRODUCT($M$2:$M$13*CX44/(1-輸入!$E$2)/$BC$2:$BC$13)*輸入!$E$6+SUMPRODUCT((($L$2:$L$13*CY44)+($M$2:$M$13*CY44/(1-輸入!$E$2)))/輸入!$S$6)*輸入!$E$8))</f>
        <v>2918128.5817634324</v>
      </c>
    </row>
    <row r="45" spans="1:104" s="2" customFormat="1" ht="15" customHeight="1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163"/>
      <c r="AA45" s="163"/>
      <c r="AB45" s="163"/>
      <c r="AC45" s="163"/>
      <c r="AD45" s="163"/>
      <c r="AE45" s="70"/>
      <c r="AF45" s="70"/>
      <c r="AG45" s="70"/>
      <c r="AH45" s="70"/>
      <c r="AI45" s="70"/>
      <c r="AJ45" s="70"/>
      <c r="AK45" s="70"/>
      <c r="AL45" s="156"/>
      <c r="AM45" s="156"/>
      <c r="AN45" s="156"/>
      <c r="AO45" s="156"/>
      <c r="AP45" s="156"/>
      <c r="AQ45" s="156"/>
      <c r="AR45" s="156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64">
        <v>0.43</v>
      </c>
      <c r="CM45" s="64">
        <f>1-輸入!$E$2-CL45</f>
        <v>0.52</v>
      </c>
      <c r="CN45" s="65">
        <f>IF(OR(CL45&lt;0,CM45&lt;0,CL45&gt;1-輸入!$E$2),"",IF(1-輸入!$E$2=0,0,SUMPRODUCT($L$2:$L$13*CL45/$S$2:$S$13)*輸入!$E$5+SUMPRODUCT($M$2:$M$13*CL45/(1-輸入!$E$2)/$T$2:$T$13)*輸入!$E$6+SUMPRODUCT((($L$2:$L$13*CM45)+($M$2:$M$13*CM45/(1-輸入!$E$2)))/輸入!$S$5)*輸入!$E$8))</f>
        <v>2911682.6651779721</v>
      </c>
      <c r="CO45" s="57"/>
      <c r="CP45" s="57"/>
      <c r="CX45" s="39">
        <f t="shared" si="25"/>
        <v>0.43000000000000022</v>
      </c>
      <c r="CY45" s="39">
        <f>1-輸入!$E$2-CX45</f>
        <v>0.5199999999999998</v>
      </c>
      <c r="CZ45" s="40">
        <f>IF(OR(CX45&lt;0,CY45&lt;0,CX45&gt;1-輸入!$E$2),"",IF(1-輸入!$E$2=0,0,SUMPRODUCT($L$2:$L$13*CX45/$BB$2:$BB$13)*輸入!$E$5+SUMPRODUCT($M$2:$M$13*CX45/(1-輸入!$E$2)/$BC$2:$BC$13)*輸入!$E$6+SUMPRODUCT((($L$2:$L$13*CY45)+($M$2:$M$13*CY45/(1-輸入!$E$2)))/輸入!$S$6)*輸入!$E$8))</f>
        <v>2901243.1518012895</v>
      </c>
    </row>
    <row r="46" spans="1:104" s="2" customFormat="1" ht="15" customHeight="1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163"/>
      <c r="AA46" s="163"/>
      <c r="AB46" s="163"/>
      <c r="AC46" s="163"/>
      <c r="AD46" s="163"/>
      <c r="AE46" s="70"/>
      <c r="AF46" s="70"/>
      <c r="AG46" s="70"/>
      <c r="AH46" s="70"/>
      <c r="AI46" s="70"/>
      <c r="AJ46" s="70"/>
      <c r="AK46" s="70"/>
      <c r="AL46" s="156"/>
      <c r="AM46" s="156"/>
      <c r="AN46" s="156"/>
      <c r="AO46" s="156"/>
      <c r="AP46" s="156"/>
      <c r="AQ46" s="156"/>
      <c r="AR46" s="156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64">
        <v>0.44</v>
      </c>
      <c r="CM46" s="64">
        <f>1-輸入!$E$2-CL46</f>
        <v>0.51</v>
      </c>
      <c r="CN46" s="65">
        <f>IF(OR(CL46&lt;0,CM46&lt;0,CL46&gt;1-輸入!$E$2),"",IF(1-輸入!$E$2=0,0,SUMPRODUCT($L$2:$L$13*CL46/$S$2:$S$13)*輸入!$E$5+SUMPRODUCT($M$2:$M$13*CL46/(1-輸入!$E$2)/$T$2:$T$13)*輸入!$E$6+SUMPRODUCT((($L$2:$L$13*CM46)+($M$2:$M$13*CM46/(1-輸入!$E$2)))/輸入!$S$5)*輸入!$E$8))</f>
        <v>2896914.5968396659</v>
      </c>
      <c r="CO46" s="57"/>
      <c r="CP46" s="57"/>
      <c r="CX46" s="39">
        <f t="shared" si="25"/>
        <v>0.44000000000000022</v>
      </c>
      <c r="CY46" s="39">
        <f>1-輸入!$E$2-CX46</f>
        <v>0.50999999999999979</v>
      </c>
      <c r="CZ46" s="40">
        <f>IF(OR(CX46&lt;0,CY46&lt;0,CX46&gt;1-輸入!$E$2),"",IF(1-輸入!$E$2=0,0,SUMPRODUCT($L$2:$L$13*CX46/$BB$2:$BB$13)*輸入!$E$5+SUMPRODUCT($M$2:$M$13*CX46/(1-輸入!$E$2)/$BC$2:$BC$13)*輸入!$E$6+SUMPRODUCT((($L$2:$L$13*CY46)+($M$2:$M$13*CY46/(1-輸入!$E$2)))/輸入!$S$6)*輸入!$E$8))</f>
        <v>2884357.7218391476</v>
      </c>
    </row>
    <row r="47" spans="1:104" s="2" customFormat="1" ht="15" customHeight="1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163"/>
      <c r="AA47" s="163"/>
      <c r="AB47" s="163"/>
      <c r="AC47" s="163"/>
      <c r="AD47" s="163"/>
      <c r="AE47" s="70"/>
      <c r="AF47" s="70"/>
      <c r="AG47" s="70"/>
      <c r="AH47" s="70"/>
      <c r="AI47" s="70"/>
      <c r="AJ47" s="70"/>
      <c r="AK47" s="70"/>
      <c r="AL47" s="156"/>
      <c r="AM47" s="156"/>
      <c r="AN47" s="156"/>
      <c r="AO47" s="156"/>
      <c r="AP47" s="156"/>
      <c r="AQ47" s="156"/>
      <c r="AR47" s="156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64">
        <v>0.45</v>
      </c>
      <c r="CM47" s="64">
        <f>1-輸入!$E$2-CL47</f>
        <v>0.49999999999999994</v>
      </c>
      <c r="CN47" s="65">
        <f>IF(OR(CL47&lt;0,CM47&lt;0,CL47&gt;1-輸入!$E$2),"",IF(1-輸入!$E$2=0,0,SUMPRODUCT($L$2:$L$13*CL47/$S$2:$S$13)*輸入!$E$5+SUMPRODUCT($M$2:$M$13*CL47/(1-輸入!$E$2)/$T$2:$T$13)*輸入!$E$6+SUMPRODUCT((($L$2:$L$13*CM47)+($M$2:$M$13*CM47/(1-輸入!$E$2)))/輸入!$S$5)*輸入!$E$8))</f>
        <v>2882146.5285013597</v>
      </c>
      <c r="CO47" s="57"/>
      <c r="CP47" s="57"/>
      <c r="CX47" s="39">
        <f t="shared" si="25"/>
        <v>0.45000000000000023</v>
      </c>
      <c r="CY47" s="39">
        <f>1-輸入!$E$2-CX47</f>
        <v>0.49999999999999972</v>
      </c>
      <c r="CZ47" s="40">
        <f>IF(OR(CX47&lt;0,CY47&lt;0,CX47&gt;1-輸入!$E$2),"",IF(1-輸入!$E$2=0,0,SUMPRODUCT($L$2:$L$13*CX47/$BB$2:$BB$13)*輸入!$E$5+SUMPRODUCT($M$2:$M$13*CX47/(1-輸入!$E$2)/$BC$2:$BC$13)*輸入!$E$6+SUMPRODUCT((($L$2:$L$13*CY47)+($M$2:$M$13*CY47/(1-輸入!$E$2)))/輸入!$S$6)*輸入!$E$8))</f>
        <v>2867472.2918770039</v>
      </c>
    </row>
    <row r="48" spans="1:104" s="2" customFormat="1" ht="15" customHeight="1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163"/>
      <c r="AA48" s="163"/>
      <c r="AB48" s="163"/>
      <c r="AC48" s="163"/>
      <c r="AD48" s="163"/>
      <c r="AE48" s="70"/>
      <c r="AF48" s="70"/>
      <c r="AG48" s="70"/>
      <c r="AH48" s="70"/>
      <c r="AI48" s="70"/>
      <c r="AJ48" s="70"/>
      <c r="AK48" s="70"/>
      <c r="AL48" s="156"/>
      <c r="AM48" s="156"/>
      <c r="AN48" s="156"/>
      <c r="AO48" s="156"/>
      <c r="AP48" s="156"/>
      <c r="AQ48" s="156"/>
      <c r="AR48" s="156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64">
        <v>0.46</v>
      </c>
      <c r="CM48" s="64">
        <f>1-輸入!$E$2-CL48</f>
        <v>0.48999999999999994</v>
      </c>
      <c r="CN48" s="65">
        <f>IF(OR(CL48&lt;0,CM48&lt;0,CL48&gt;1-輸入!$E$2),"",IF(1-輸入!$E$2=0,0,SUMPRODUCT($L$2:$L$13*CL48/$S$2:$S$13)*輸入!$E$5+SUMPRODUCT($M$2:$M$13*CL48/(1-輸入!$E$2)/$T$2:$T$13)*輸入!$E$6+SUMPRODUCT((($L$2:$L$13*CM48)+($M$2:$M$13*CM48/(1-輸入!$E$2)))/輸入!$S$5)*輸入!$E$8))</f>
        <v>2867378.4601630541</v>
      </c>
      <c r="CO48" s="57"/>
      <c r="CP48" s="57"/>
      <c r="CX48" s="39">
        <f t="shared" si="25"/>
        <v>0.46000000000000024</v>
      </c>
      <c r="CY48" s="39">
        <f>1-輸入!$E$2-CX48</f>
        <v>0.48999999999999971</v>
      </c>
      <c r="CZ48" s="40">
        <f>IF(OR(CX48&lt;0,CY48&lt;0,CX48&gt;1-輸入!$E$2),"",IF(1-輸入!$E$2=0,0,SUMPRODUCT($L$2:$L$13*CX48/$BB$2:$BB$13)*輸入!$E$5+SUMPRODUCT($M$2:$M$13*CX48/(1-輸入!$E$2)/$BC$2:$BC$13)*輸入!$E$6+SUMPRODUCT((($L$2:$L$13*CY48)+($M$2:$M$13*CY48/(1-輸入!$E$2)))/輸入!$S$6)*輸入!$E$8))</f>
        <v>2850586.8619148615</v>
      </c>
    </row>
    <row r="49" spans="1:104" s="2" customFormat="1" ht="15" customHeight="1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163"/>
      <c r="AA49" s="163"/>
      <c r="AB49" s="163"/>
      <c r="AC49" s="163"/>
      <c r="AD49" s="163"/>
      <c r="AE49" s="70"/>
      <c r="AF49" s="70"/>
      <c r="AG49" s="70"/>
      <c r="AH49" s="70"/>
      <c r="AI49" s="70"/>
      <c r="AJ49" s="70"/>
      <c r="AK49" s="70"/>
      <c r="AL49" s="156"/>
      <c r="AM49" s="156"/>
      <c r="AN49" s="156"/>
      <c r="AO49" s="156"/>
      <c r="AP49" s="156"/>
      <c r="AQ49" s="156"/>
      <c r="AR49" s="156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64">
        <v>0.47</v>
      </c>
      <c r="CM49" s="64">
        <f>1-輸入!$E$2-CL49</f>
        <v>0.48</v>
      </c>
      <c r="CN49" s="65">
        <f>IF(OR(CL49&lt;0,CM49&lt;0,CL49&gt;1-輸入!$E$2),"",IF(1-輸入!$E$2=0,0,SUMPRODUCT($L$2:$L$13*CL49/$S$2:$S$13)*輸入!$E$5+SUMPRODUCT($M$2:$M$13*CL49/(1-輸入!$E$2)/$T$2:$T$13)*輸入!$E$6+SUMPRODUCT((($L$2:$L$13*CM49)+($M$2:$M$13*CM49/(1-輸入!$E$2)))/輸入!$S$5)*輸入!$E$8))</f>
        <v>2852610.3918247484</v>
      </c>
      <c r="CO49" s="57"/>
      <c r="CP49" s="57"/>
      <c r="CX49" s="39">
        <f t="shared" si="25"/>
        <v>0.47000000000000025</v>
      </c>
      <c r="CY49" s="39">
        <f>1-輸入!$E$2-CX49</f>
        <v>0.4799999999999997</v>
      </c>
      <c r="CZ49" s="40">
        <f>IF(OR(CX49&lt;0,CY49&lt;0,CX49&gt;1-輸入!$E$2),"",IF(1-輸入!$E$2=0,0,SUMPRODUCT($L$2:$L$13*CX49/$BB$2:$BB$13)*輸入!$E$5+SUMPRODUCT($M$2:$M$13*CX49/(1-輸入!$E$2)/$BC$2:$BC$13)*輸入!$E$6+SUMPRODUCT((($L$2:$L$13*CY49)+($M$2:$M$13*CY49/(1-輸入!$E$2)))/輸入!$S$6)*輸入!$E$8))</f>
        <v>2833701.4319527186</v>
      </c>
    </row>
    <row r="50" spans="1:104" s="2" customFormat="1" ht="15" customHeight="1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163"/>
      <c r="AA50" s="163"/>
      <c r="AB50" s="163"/>
      <c r="AC50" s="163"/>
      <c r="AD50" s="163"/>
      <c r="AE50" s="70"/>
      <c r="AF50" s="70"/>
      <c r="AG50" s="70"/>
      <c r="AH50" s="70"/>
      <c r="AI50" s="70"/>
      <c r="AJ50" s="70"/>
      <c r="AK50" s="70"/>
      <c r="AL50" s="156"/>
      <c r="AM50" s="156"/>
      <c r="AN50" s="156"/>
      <c r="AO50" s="156"/>
      <c r="AP50" s="156"/>
      <c r="AQ50" s="156"/>
      <c r="AR50" s="156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64">
        <v>0.48</v>
      </c>
      <c r="CM50" s="64">
        <f>1-輸入!$E$2-CL50</f>
        <v>0.47</v>
      </c>
      <c r="CN50" s="65">
        <f>IF(OR(CL50&lt;0,CM50&lt;0,CL50&gt;1-輸入!$E$2),"",IF(1-輸入!$E$2=0,0,SUMPRODUCT($L$2:$L$13*CL50/$S$2:$S$13)*輸入!$E$5+SUMPRODUCT($M$2:$M$13*CL50/(1-輸入!$E$2)/$T$2:$T$13)*輸入!$E$6+SUMPRODUCT((($L$2:$L$13*CM50)+($M$2:$M$13*CM50/(1-輸入!$E$2)))/輸入!$S$5)*輸入!$E$8))</f>
        <v>2837842.3234864417</v>
      </c>
      <c r="CO50" s="57"/>
      <c r="CP50" s="57"/>
      <c r="CX50" s="39">
        <f t="shared" si="25"/>
        <v>0.48000000000000026</v>
      </c>
      <c r="CY50" s="39">
        <f>1-輸入!$E$2-CX50</f>
        <v>0.4699999999999997</v>
      </c>
      <c r="CZ50" s="40">
        <f>IF(OR(CX50&lt;0,CY50&lt;0,CX50&gt;1-輸入!$E$2),"",IF(1-輸入!$E$2=0,0,SUMPRODUCT($L$2:$L$13*CX50/$BB$2:$BB$13)*輸入!$E$5+SUMPRODUCT($M$2:$M$13*CX50/(1-輸入!$E$2)/$BC$2:$BC$13)*輸入!$E$6+SUMPRODUCT((($L$2:$L$13*CY50)+($M$2:$M$13*CY50/(1-輸入!$E$2)))/輸入!$S$6)*輸入!$E$8))</f>
        <v>2816816.0019905763</v>
      </c>
    </row>
    <row r="51" spans="1:104" s="2" customFormat="1" ht="15" customHeight="1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163"/>
      <c r="AA51" s="163"/>
      <c r="AB51" s="163"/>
      <c r="AC51" s="163"/>
      <c r="AD51" s="163"/>
      <c r="AE51" s="70"/>
      <c r="AF51" s="70"/>
      <c r="AG51" s="70"/>
      <c r="AH51" s="70"/>
      <c r="AI51" s="70"/>
      <c r="AJ51" s="70"/>
      <c r="AK51" s="70"/>
      <c r="AL51" s="156"/>
      <c r="AM51" s="156"/>
      <c r="AN51" s="156"/>
      <c r="AO51" s="156"/>
      <c r="AP51" s="156"/>
      <c r="AQ51" s="156"/>
      <c r="AR51" s="156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64">
        <v>0.49</v>
      </c>
      <c r="CM51" s="64">
        <f>1-輸入!$E$2-CL51</f>
        <v>0.45999999999999996</v>
      </c>
      <c r="CN51" s="65">
        <f>IF(OR(CL51&lt;0,CM51&lt;0,CL51&gt;1-輸入!$E$2),"",IF(1-輸入!$E$2=0,0,SUMPRODUCT($L$2:$L$13*CL51/$S$2:$S$13)*輸入!$E$5+SUMPRODUCT($M$2:$M$13*CL51/(1-輸入!$E$2)/$T$2:$T$13)*輸入!$E$6+SUMPRODUCT((($L$2:$L$13*CM51)+($M$2:$M$13*CM51/(1-輸入!$E$2)))/輸入!$S$5)*輸入!$E$8))</f>
        <v>2823074.2551481361</v>
      </c>
      <c r="CO51" s="57"/>
      <c r="CP51" s="57"/>
      <c r="CX51" s="39">
        <f t="shared" si="25"/>
        <v>0.49000000000000027</v>
      </c>
      <c r="CY51" s="39">
        <f>1-輸入!$E$2-CX51</f>
        <v>0.45999999999999969</v>
      </c>
      <c r="CZ51" s="40">
        <f>IF(OR(CX51&lt;0,CY51&lt;0,CX51&gt;1-輸入!$E$2),"",IF(1-輸入!$E$2=0,0,SUMPRODUCT($L$2:$L$13*CX51/$BB$2:$BB$13)*輸入!$E$5+SUMPRODUCT($M$2:$M$13*CX51/(1-輸入!$E$2)/$BC$2:$BC$13)*輸入!$E$6+SUMPRODUCT((($L$2:$L$13*CY51)+($M$2:$M$13*CY51/(1-輸入!$E$2)))/輸入!$S$6)*輸入!$E$8))</f>
        <v>2799930.5720284334</v>
      </c>
    </row>
    <row r="52" spans="1:104" s="2" customFormat="1" ht="15" customHeight="1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163"/>
      <c r="AA52" s="163"/>
      <c r="AB52" s="163"/>
      <c r="AC52" s="163"/>
      <c r="AD52" s="163"/>
      <c r="AE52" s="70"/>
      <c r="AF52" s="70"/>
      <c r="AG52" s="70"/>
      <c r="AH52" s="70"/>
      <c r="AI52" s="70"/>
      <c r="AJ52" s="70"/>
      <c r="AK52" s="70"/>
      <c r="AL52" s="156"/>
      <c r="AM52" s="156"/>
      <c r="AN52" s="156"/>
      <c r="AO52" s="156"/>
      <c r="AP52" s="156"/>
      <c r="AQ52" s="156"/>
      <c r="AR52" s="156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64">
        <v>0.5</v>
      </c>
      <c r="CM52" s="64">
        <f>1-輸入!$E$2-CL52</f>
        <v>0.44999999999999996</v>
      </c>
      <c r="CN52" s="65">
        <f>IF(OR(CL52&lt;0,CM52&lt;0,CL52&gt;1-輸入!$E$2),"",IF(1-輸入!$E$2=0,0,SUMPRODUCT($L$2:$L$13*CL52/$S$2:$S$13)*輸入!$E$5+SUMPRODUCT($M$2:$M$13*CL52/(1-輸入!$E$2)/$T$2:$T$13)*輸入!$E$6+SUMPRODUCT((($L$2:$L$13*CM52)+($M$2:$M$13*CM52/(1-輸入!$E$2)))/輸入!$S$5)*輸入!$E$8))</f>
        <v>2808306.1868098304</v>
      </c>
      <c r="CO52" s="57"/>
      <c r="CP52" s="57"/>
      <c r="CX52" s="39">
        <f t="shared" si="25"/>
        <v>0.50000000000000022</v>
      </c>
      <c r="CY52" s="39">
        <f>1-輸入!$E$2-CX52</f>
        <v>0.44999999999999973</v>
      </c>
      <c r="CZ52" s="40">
        <f>IF(OR(CX52&lt;0,CY52&lt;0,CX52&gt;1-輸入!$E$2),"",IF(1-輸入!$E$2=0,0,SUMPRODUCT($L$2:$L$13*CX52/$BB$2:$BB$13)*輸入!$E$5+SUMPRODUCT($M$2:$M$13*CX52/(1-輸入!$E$2)/$BC$2:$BC$13)*輸入!$E$6+SUMPRODUCT((($L$2:$L$13*CY52)+($M$2:$M$13*CY52/(1-輸入!$E$2)))/輸入!$S$6)*輸入!$E$8))</f>
        <v>2783045.1420662901</v>
      </c>
    </row>
    <row r="53" spans="1:104" s="2" customFormat="1" ht="15" customHeight="1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163"/>
      <c r="AA53" s="163"/>
      <c r="AB53" s="163"/>
      <c r="AC53" s="163"/>
      <c r="AD53" s="163"/>
      <c r="AE53" s="70"/>
      <c r="AF53" s="70"/>
      <c r="AG53" s="70"/>
      <c r="AH53" s="70"/>
      <c r="AI53" s="70"/>
      <c r="AJ53" s="70"/>
      <c r="AK53" s="70"/>
      <c r="AL53" s="156"/>
      <c r="AM53" s="156"/>
      <c r="AN53" s="156"/>
      <c r="AO53" s="156"/>
      <c r="AP53" s="156"/>
      <c r="AQ53" s="156"/>
      <c r="AR53" s="156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64">
        <v>0.51</v>
      </c>
      <c r="CM53" s="64">
        <f>1-輸入!$E$2-CL53</f>
        <v>0.43999999999999995</v>
      </c>
      <c r="CN53" s="65">
        <f>IF(OR(CL53&lt;0,CM53&lt;0,CL53&gt;1-輸入!$E$2),"",IF(1-輸入!$E$2=0,0,SUMPRODUCT($L$2:$L$13*CL53/$S$2:$S$13)*輸入!$E$5+SUMPRODUCT($M$2:$M$13*CL53/(1-輸入!$E$2)/$T$2:$T$13)*輸入!$E$6+SUMPRODUCT((($L$2:$L$13*CM53)+($M$2:$M$13*CM53/(1-輸入!$E$2)))/輸入!$S$5)*輸入!$E$8))</f>
        <v>2793538.1184715237</v>
      </c>
      <c r="CO53" s="57"/>
      <c r="CP53" s="57"/>
      <c r="CX53" s="39">
        <f t="shared" si="25"/>
        <v>0.51000000000000023</v>
      </c>
      <c r="CY53" s="39">
        <f>1-輸入!$E$2-CX53</f>
        <v>0.43999999999999972</v>
      </c>
      <c r="CZ53" s="40">
        <f>IF(OR(CX53&lt;0,CY53&lt;0,CX53&gt;1-輸入!$E$2),"",IF(1-輸入!$E$2=0,0,SUMPRODUCT($L$2:$L$13*CX53/$BB$2:$BB$13)*輸入!$E$5+SUMPRODUCT($M$2:$M$13*CX53/(1-輸入!$E$2)/$BC$2:$BC$13)*輸入!$E$6+SUMPRODUCT((($L$2:$L$13*CY53)+($M$2:$M$13*CY53/(1-輸入!$E$2)))/輸入!$S$6)*輸入!$E$8))</f>
        <v>2766159.7121041473</v>
      </c>
    </row>
    <row r="54" spans="1:104" s="2" customFormat="1" ht="15" customHeight="1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163"/>
      <c r="AA54" s="163"/>
      <c r="AB54" s="163"/>
      <c r="AC54" s="163"/>
      <c r="AD54" s="163"/>
      <c r="AE54" s="70"/>
      <c r="AF54" s="70"/>
      <c r="AG54" s="70"/>
      <c r="AH54" s="70"/>
      <c r="AI54" s="70"/>
      <c r="AJ54" s="70"/>
      <c r="AK54" s="70"/>
      <c r="AL54" s="156"/>
      <c r="AM54" s="156"/>
      <c r="AN54" s="156"/>
      <c r="AO54" s="156"/>
      <c r="AP54" s="156"/>
      <c r="AQ54" s="156"/>
      <c r="AR54" s="156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64">
        <v>0.52</v>
      </c>
      <c r="CM54" s="64">
        <f>1-輸入!$E$2-CL54</f>
        <v>0.42999999999999994</v>
      </c>
      <c r="CN54" s="65">
        <f>IF(OR(CL54&lt;0,CM54&lt;0,CL54&gt;1-輸入!$E$2),"",IF(1-輸入!$E$2=0,0,SUMPRODUCT($L$2:$L$13*CL54/$S$2:$S$13)*輸入!$E$5+SUMPRODUCT($M$2:$M$13*CL54/(1-輸入!$E$2)/$T$2:$T$13)*輸入!$E$6+SUMPRODUCT((($L$2:$L$13*CM54)+($M$2:$M$13*CM54/(1-輸入!$E$2)))/輸入!$S$5)*輸入!$E$8))</f>
        <v>2778770.0501332181</v>
      </c>
      <c r="CO54" s="57"/>
      <c r="CP54" s="57"/>
      <c r="CX54" s="39">
        <f t="shared" si="25"/>
        <v>0.52000000000000024</v>
      </c>
      <c r="CY54" s="39">
        <f>1-輸入!$E$2-CX54</f>
        <v>0.42999999999999972</v>
      </c>
      <c r="CZ54" s="40">
        <f>IF(OR(CX54&lt;0,CY54&lt;0,CX54&gt;1-輸入!$E$2),"",IF(1-輸入!$E$2=0,0,SUMPRODUCT($L$2:$L$13*CX54/$BB$2:$BB$13)*輸入!$E$5+SUMPRODUCT($M$2:$M$13*CX54/(1-輸入!$E$2)/$BC$2:$BC$13)*輸入!$E$6+SUMPRODUCT((($L$2:$L$13*CY54)+($M$2:$M$13*CY54/(1-輸入!$E$2)))/輸入!$S$6)*輸入!$E$8))</f>
        <v>2749274.2821420049</v>
      </c>
    </row>
    <row r="55" spans="1:104" s="2" customFormat="1" ht="15" customHeight="1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163"/>
      <c r="AA55" s="163"/>
      <c r="AB55" s="163"/>
      <c r="AC55" s="163"/>
      <c r="AD55" s="163"/>
      <c r="AE55" s="70"/>
      <c r="AF55" s="70"/>
      <c r="AG55" s="70"/>
      <c r="AH55" s="70"/>
      <c r="AI55" s="70"/>
      <c r="AJ55" s="70"/>
      <c r="AK55" s="70"/>
      <c r="AL55" s="156"/>
      <c r="AM55" s="156"/>
      <c r="AN55" s="156"/>
      <c r="AO55" s="156"/>
      <c r="AP55" s="156"/>
      <c r="AQ55" s="156"/>
      <c r="AR55" s="156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64">
        <v>0.53</v>
      </c>
      <c r="CM55" s="64">
        <f>1-輸入!$E$2-CL55</f>
        <v>0.41999999999999993</v>
      </c>
      <c r="CN55" s="65">
        <f>IF(OR(CL55&lt;0,CM55&lt;0,CL55&gt;1-輸入!$E$2),"",IF(1-輸入!$E$2=0,0,SUMPRODUCT($L$2:$L$13*CL55/$S$2:$S$13)*輸入!$E$5+SUMPRODUCT($M$2:$M$13*CL55/(1-輸入!$E$2)/$T$2:$T$13)*輸入!$E$6+SUMPRODUCT((($L$2:$L$13*CM55)+($M$2:$M$13*CM55/(1-輸入!$E$2)))/輸入!$S$5)*輸入!$E$8))</f>
        <v>2764001.9817949124</v>
      </c>
      <c r="CO55" s="57"/>
      <c r="CP55" s="57"/>
      <c r="CX55" s="39">
        <f t="shared" si="25"/>
        <v>0.53000000000000025</v>
      </c>
      <c r="CY55" s="39">
        <f>1-輸入!$E$2-CX55</f>
        <v>0.41999999999999971</v>
      </c>
      <c r="CZ55" s="40">
        <f>IF(OR(CX55&lt;0,CY55&lt;0,CX55&gt;1-輸入!$E$2),"",IF(1-輸入!$E$2=0,0,SUMPRODUCT($L$2:$L$13*CX55/$BB$2:$BB$13)*輸入!$E$5+SUMPRODUCT($M$2:$M$13*CX55/(1-輸入!$E$2)/$BC$2:$BC$13)*輸入!$E$6+SUMPRODUCT((($L$2:$L$13*CY55)+($M$2:$M$13*CY55/(1-輸入!$E$2)))/輸入!$S$6)*輸入!$E$8))</f>
        <v>2732388.8521798621</v>
      </c>
    </row>
    <row r="56" spans="1:104" s="2" customFormat="1" ht="15" customHeight="1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163"/>
      <c r="AA56" s="163"/>
      <c r="AB56" s="163"/>
      <c r="AC56" s="163"/>
      <c r="AD56" s="163"/>
      <c r="AE56" s="70"/>
      <c r="AF56" s="70"/>
      <c r="AG56" s="70"/>
      <c r="AH56" s="70"/>
      <c r="AI56" s="70"/>
      <c r="AJ56" s="70"/>
      <c r="AK56" s="70"/>
      <c r="AL56" s="156"/>
      <c r="AM56" s="156"/>
      <c r="AN56" s="156"/>
      <c r="AO56" s="156"/>
      <c r="AP56" s="156"/>
      <c r="AQ56" s="156"/>
      <c r="AR56" s="156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64">
        <v>0.54</v>
      </c>
      <c r="CM56" s="64">
        <f>1-輸入!$E$2-CL56</f>
        <v>0.40999999999999992</v>
      </c>
      <c r="CN56" s="65">
        <f>IF(OR(CL56&lt;0,CM56&lt;0,CL56&gt;1-輸入!$E$2),"",IF(1-輸入!$E$2=0,0,SUMPRODUCT($L$2:$L$13*CL56/$S$2:$S$13)*輸入!$E$5+SUMPRODUCT($M$2:$M$13*CL56/(1-輸入!$E$2)/$T$2:$T$13)*輸入!$E$6+SUMPRODUCT((($L$2:$L$13*CM56)+($M$2:$M$13*CM56/(1-輸入!$E$2)))/輸入!$S$5)*輸入!$E$8))</f>
        <v>2749233.9134566057</v>
      </c>
      <c r="CO56" s="57"/>
      <c r="CP56" s="57"/>
      <c r="CX56" s="39">
        <f t="shared" si="25"/>
        <v>0.54000000000000026</v>
      </c>
      <c r="CY56" s="39">
        <f>1-輸入!$E$2-CX56</f>
        <v>0.4099999999999997</v>
      </c>
      <c r="CZ56" s="40">
        <f>IF(OR(CX56&lt;0,CY56&lt;0,CX56&gt;1-輸入!$E$2),"",IF(1-輸入!$E$2=0,0,SUMPRODUCT($L$2:$L$13*CX56/$BB$2:$BB$13)*輸入!$E$5+SUMPRODUCT($M$2:$M$13*CX56/(1-輸入!$E$2)/$BC$2:$BC$13)*輸入!$E$6+SUMPRODUCT((($L$2:$L$13*CY56)+($M$2:$M$13*CY56/(1-輸入!$E$2)))/輸入!$S$6)*輸入!$E$8))</f>
        <v>2715503.4222177197</v>
      </c>
    </row>
    <row r="57" spans="1:104" s="2" customFormat="1" ht="15" customHeight="1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163"/>
      <c r="AA57" s="163"/>
      <c r="AB57" s="163"/>
      <c r="AC57" s="163"/>
      <c r="AD57" s="163"/>
      <c r="AE57" s="70"/>
      <c r="AF57" s="70"/>
      <c r="AG57" s="70"/>
      <c r="AH57" s="70"/>
      <c r="AI57" s="70"/>
      <c r="AJ57" s="70"/>
      <c r="AK57" s="70"/>
      <c r="AL57" s="156"/>
      <c r="AM57" s="156"/>
      <c r="AN57" s="156"/>
      <c r="AO57" s="156"/>
      <c r="AP57" s="156"/>
      <c r="AQ57" s="156"/>
      <c r="AR57" s="156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64">
        <v>0.55000000000000004</v>
      </c>
      <c r="CM57" s="64">
        <f>1-輸入!$E$2-CL57</f>
        <v>0.39999999999999991</v>
      </c>
      <c r="CN57" s="65">
        <f>IF(OR(CL57&lt;0,CM57&lt;0,CL57&gt;1-輸入!$E$2),"",IF(1-輸入!$E$2=0,0,SUMPRODUCT($L$2:$L$13*CL57/$S$2:$S$13)*輸入!$E$5+SUMPRODUCT($M$2:$M$13*CL57/(1-輸入!$E$2)/$T$2:$T$13)*輸入!$E$6+SUMPRODUCT((($L$2:$L$13*CM57)+($M$2:$M$13*CM57/(1-輸入!$E$2)))/輸入!$S$5)*輸入!$E$8))</f>
        <v>2734465.8451183001</v>
      </c>
      <c r="CO57" s="57"/>
      <c r="CP57" s="57"/>
      <c r="CX57" s="39">
        <f t="shared" si="25"/>
        <v>0.55000000000000027</v>
      </c>
      <c r="CY57" s="39">
        <f>1-輸入!$E$2-CX57</f>
        <v>0.39999999999999969</v>
      </c>
      <c r="CZ57" s="40">
        <f>IF(OR(CX57&lt;0,CY57&lt;0,CX57&gt;1-輸入!$E$2),"",IF(1-輸入!$E$2=0,0,SUMPRODUCT($L$2:$L$13*CX57/$BB$2:$BB$13)*輸入!$E$5+SUMPRODUCT($M$2:$M$13*CX57/(1-輸入!$E$2)/$BC$2:$BC$13)*輸入!$E$6+SUMPRODUCT((($L$2:$L$13*CY57)+($M$2:$M$13*CY57/(1-輸入!$E$2)))/輸入!$S$6)*輸入!$E$8))</f>
        <v>2698617.9922555769</v>
      </c>
    </row>
    <row r="58" spans="1:104" s="2" customFormat="1" ht="15" customHeight="1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163"/>
      <c r="AA58" s="163"/>
      <c r="AB58" s="163"/>
      <c r="AC58" s="163"/>
      <c r="AD58" s="163"/>
      <c r="AE58" s="70"/>
      <c r="AF58" s="70"/>
      <c r="AG58" s="70"/>
      <c r="AH58" s="70"/>
      <c r="AI58" s="70"/>
      <c r="AJ58" s="70"/>
      <c r="AK58" s="70"/>
      <c r="AL58" s="156"/>
      <c r="AM58" s="156"/>
      <c r="AN58" s="156"/>
      <c r="AO58" s="156"/>
      <c r="AP58" s="156"/>
      <c r="AQ58" s="156"/>
      <c r="AR58" s="156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64">
        <v>0.56000000000000005</v>
      </c>
      <c r="CM58" s="64">
        <f>1-輸入!$E$2-CL58</f>
        <v>0.3899999999999999</v>
      </c>
      <c r="CN58" s="65">
        <f>IF(OR(CL58&lt;0,CM58&lt;0,CL58&gt;1-輸入!$E$2),"",IF(1-輸入!$E$2=0,0,SUMPRODUCT($L$2:$L$13*CL58/$S$2:$S$13)*輸入!$E$5+SUMPRODUCT($M$2:$M$13*CL58/(1-輸入!$E$2)/$T$2:$T$13)*輸入!$E$6+SUMPRODUCT((($L$2:$L$13*CM58)+($M$2:$M$13*CM58/(1-輸入!$E$2)))/輸入!$S$5)*輸入!$E$8))</f>
        <v>2719697.7767799944</v>
      </c>
      <c r="CO58" s="57"/>
      <c r="CP58" s="57"/>
      <c r="CX58" s="39">
        <f t="shared" si="25"/>
        <v>0.56000000000000028</v>
      </c>
      <c r="CY58" s="39">
        <f>1-輸入!$E$2-CX58</f>
        <v>0.38999999999999968</v>
      </c>
      <c r="CZ58" s="40">
        <f>IF(OR(CX58&lt;0,CY58&lt;0,CX58&gt;1-輸入!$E$2),"",IF(1-輸入!$E$2=0,0,SUMPRODUCT($L$2:$L$13*CX58/$BB$2:$BB$13)*輸入!$E$5+SUMPRODUCT($M$2:$M$13*CX58/(1-輸入!$E$2)/$BC$2:$BC$13)*輸入!$E$6+SUMPRODUCT((($L$2:$L$13*CY58)+($M$2:$M$13*CY58/(1-輸入!$E$2)))/輸入!$S$6)*輸入!$E$8))</f>
        <v>2681732.5622934345</v>
      </c>
    </row>
    <row r="59" spans="1:104" s="2" customFormat="1" ht="15" customHeight="1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163"/>
      <c r="AA59" s="163"/>
      <c r="AB59" s="163"/>
      <c r="AC59" s="163"/>
      <c r="AD59" s="163"/>
      <c r="AE59" s="70"/>
      <c r="AF59" s="70"/>
      <c r="AG59" s="70"/>
      <c r="AH59" s="70"/>
      <c r="AI59" s="70"/>
      <c r="AJ59" s="70"/>
      <c r="AK59" s="70"/>
      <c r="AL59" s="156"/>
      <c r="AM59" s="156"/>
      <c r="AN59" s="156"/>
      <c r="AO59" s="156"/>
      <c r="AP59" s="156"/>
      <c r="AQ59" s="156"/>
      <c r="AR59" s="156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64">
        <v>0.56999999999999995</v>
      </c>
      <c r="CM59" s="64">
        <f>1-輸入!$E$2-CL59</f>
        <v>0.38</v>
      </c>
      <c r="CN59" s="65">
        <f>IF(OR(CL59&lt;0,CM59&lt;0,CL59&gt;1-輸入!$E$2),"",IF(1-輸入!$E$2=0,0,SUMPRODUCT($L$2:$L$13*CL59/$S$2:$S$13)*輸入!$E$5+SUMPRODUCT($M$2:$M$13*CL59/(1-輸入!$E$2)/$T$2:$T$13)*輸入!$E$6+SUMPRODUCT((($L$2:$L$13*CM59)+($M$2:$M$13*CM59/(1-輸入!$E$2)))/輸入!$S$5)*輸入!$E$8))</f>
        <v>2704929.7084416882</v>
      </c>
      <c r="CO59" s="57"/>
      <c r="CP59" s="57"/>
      <c r="CX59" s="39">
        <f t="shared" si="25"/>
        <v>0.57000000000000028</v>
      </c>
      <c r="CY59" s="39">
        <f>1-輸入!$E$2-CX59</f>
        <v>0.37999999999999967</v>
      </c>
      <c r="CZ59" s="40">
        <f>IF(OR(CX59&lt;0,CY59&lt;0,CX59&gt;1-輸入!$E$2),"",IF(1-輸入!$E$2=0,0,SUMPRODUCT($L$2:$L$13*CX59/$BB$2:$BB$13)*輸入!$E$5+SUMPRODUCT($M$2:$M$13*CX59/(1-輸入!$E$2)/$BC$2:$BC$13)*輸入!$E$6+SUMPRODUCT((($L$2:$L$13*CY59)+($M$2:$M$13*CY59/(1-輸入!$E$2)))/輸入!$S$6)*輸入!$E$8))</f>
        <v>2664847.1323312921</v>
      </c>
    </row>
    <row r="60" spans="1:104" s="2" customFormat="1" ht="15" customHeight="1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163"/>
      <c r="AA60" s="163"/>
      <c r="AB60" s="163"/>
      <c r="AC60" s="163"/>
      <c r="AD60" s="163"/>
      <c r="AE60" s="70"/>
      <c r="AF60" s="70"/>
      <c r="AG60" s="70"/>
      <c r="AH60" s="70"/>
      <c r="AI60" s="70"/>
      <c r="AJ60" s="70"/>
      <c r="AK60" s="70"/>
      <c r="AL60" s="156"/>
      <c r="AM60" s="156"/>
      <c r="AN60" s="156"/>
      <c r="AO60" s="156"/>
      <c r="AP60" s="156"/>
      <c r="AQ60" s="156"/>
      <c r="AR60" s="156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64">
        <v>0.57999999999999996</v>
      </c>
      <c r="CM60" s="64">
        <f>1-輸入!$E$2-CL60</f>
        <v>0.37</v>
      </c>
      <c r="CN60" s="65">
        <f>IF(OR(CL60&lt;0,CM60&lt;0,CL60&gt;1-輸入!$E$2),"",IF(1-輸入!$E$2=0,0,SUMPRODUCT($L$2:$L$13*CL60/$S$2:$S$13)*輸入!$E$5+SUMPRODUCT($M$2:$M$13*CL60/(1-輸入!$E$2)/$T$2:$T$13)*輸入!$E$6+SUMPRODUCT((($L$2:$L$13*CM60)+($M$2:$M$13*CM60/(1-輸入!$E$2)))/輸入!$S$5)*輸入!$E$8))</f>
        <v>2690161.6401033825</v>
      </c>
      <c r="CO60" s="57"/>
      <c r="CP60" s="57"/>
      <c r="CX60" s="39">
        <f t="shared" si="25"/>
        <v>0.58000000000000029</v>
      </c>
      <c r="CY60" s="39">
        <f>1-輸入!$E$2-CX60</f>
        <v>0.36999999999999966</v>
      </c>
      <c r="CZ60" s="40">
        <f>IF(OR(CX60&lt;0,CY60&lt;0,CX60&gt;1-輸入!$E$2),"",IF(1-輸入!$E$2=0,0,SUMPRODUCT($L$2:$L$13*CX60/$BB$2:$BB$13)*輸入!$E$5+SUMPRODUCT($M$2:$M$13*CX60/(1-輸入!$E$2)/$BC$2:$BC$13)*輸入!$E$6+SUMPRODUCT((($L$2:$L$13*CY60)+($M$2:$M$13*CY60/(1-輸入!$E$2)))/輸入!$S$6)*輸入!$E$8))</f>
        <v>2647961.7023691488</v>
      </c>
    </row>
    <row r="61" spans="1:104" s="2" customFormat="1" ht="15" customHeight="1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163"/>
      <c r="AA61" s="163"/>
      <c r="AB61" s="163"/>
      <c r="AC61" s="163"/>
      <c r="AD61" s="163"/>
      <c r="AE61" s="70"/>
      <c r="AF61" s="70"/>
      <c r="AG61" s="70"/>
      <c r="AH61" s="70"/>
      <c r="AI61" s="70"/>
      <c r="AJ61" s="70"/>
      <c r="AK61" s="70"/>
      <c r="AL61" s="156"/>
      <c r="AM61" s="156"/>
      <c r="AN61" s="156"/>
      <c r="AO61" s="156"/>
      <c r="AP61" s="156"/>
      <c r="AQ61" s="156"/>
      <c r="AR61" s="156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64">
        <v>0.59</v>
      </c>
      <c r="CM61" s="64">
        <f>1-輸入!$E$2-CL61</f>
        <v>0.36</v>
      </c>
      <c r="CN61" s="65">
        <f>IF(OR(CL61&lt;0,CM61&lt;0,CL61&gt;1-輸入!$E$2),"",IF(1-輸入!$E$2=0,0,SUMPRODUCT($L$2:$L$13*CL61/$S$2:$S$13)*輸入!$E$5+SUMPRODUCT($M$2:$M$13*CL61/(1-輸入!$E$2)/$T$2:$T$13)*輸入!$E$6+SUMPRODUCT((($L$2:$L$13*CM61)+($M$2:$M$13*CM61/(1-輸入!$E$2)))/輸入!$S$5)*輸入!$E$8))</f>
        <v>2675393.5717650764</v>
      </c>
      <c r="CO61" s="57"/>
      <c r="CP61" s="57"/>
      <c r="CX61" s="39">
        <f t="shared" si="25"/>
        <v>0.5900000000000003</v>
      </c>
      <c r="CY61" s="39">
        <f>1-輸入!$E$2-CX61</f>
        <v>0.35999999999999965</v>
      </c>
      <c r="CZ61" s="40">
        <f>IF(OR(CX61&lt;0,CY61&lt;0,CX61&gt;1-輸入!$E$2),"",IF(1-輸入!$E$2=0,0,SUMPRODUCT($L$2:$L$13*CX61/$BB$2:$BB$13)*輸入!$E$5+SUMPRODUCT($M$2:$M$13*CX61/(1-輸入!$E$2)/$BC$2:$BC$13)*輸入!$E$6+SUMPRODUCT((($L$2:$L$13*CY61)+($M$2:$M$13*CY61/(1-輸入!$E$2)))/輸入!$S$6)*輸入!$E$8))</f>
        <v>2631076.2724070065</v>
      </c>
    </row>
    <row r="62" spans="1:104" s="2" customFormat="1" ht="15" customHeight="1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163"/>
      <c r="AA62" s="163"/>
      <c r="AB62" s="163"/>
      <c r="AC62" s="163"/>
      <c r="AD62" s="163"/>
      <c r="AE62" s="70"/>
      <c r="AF62" s="70"/>
      <c r="AG62" s="70"/>
      <c r="AH62" s="70"/>
      <c r="AI62" s="70"/>
      <c r="AJ62" s="70"/>
      <c r="AK62" s="70"/>
      <c r="AL62" s="156"/>
      <c r="AM62" s="156"/>
      <c r="AN62" s="156"/>
      <c r="AO62" s="156"/>
      <c r="AP62" s="156"/>
      <c r="AQ62" s="156"/>
      <c r="AR62" s="156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64">
        <v>0.6</v>
      </c>
      <c r="CM62" s="64">
        <f>1-輸入!$E$2-CL62</f>
        <v>0.35</v>
      </c>
      <c r="CN62" s="65">
        <f>IF(OR(CL62&lt;0,CM62&lt;0,CL62&gt;1-輸入!$E$2),"",IF(1-輸入!$E$2=0,0,SUMPRODUCT($L$2:$L$13*CL62/$S$2:$S$13)*輸入!$E$5+SUMPRODUCT($M$2:$M$13*CL62/(1-輸入!$E$2)/$T$2:$T$13)*輸入!$E$6+SUMPRODUCT((($L$2:$L$13*CM62)+($M$2:$M$13*CM62/(1-輸入!$E$2)))/輸入!$S$5)*輸入!$E$8))</f>
        <v>2660625.5034267707</v>
      </c>
      <c r="CO62" s="57"/>
      <c r="CP62" s="57"/>
      <c r="CX62" s="39">
        <f t="shared" si="25"/>
        <v>0.60000000000000031</v>
      </c>
      <c r="CY62" s="39">
        <f>1-輸入!$E$2-CX62</f>
        <v>0.34999999999999964</v>
      </c>
      <c r="CZ62" s="40">
        <f>IF(OR(CX62&lt;0,CY62&lt;0,CX62&gt;1-輸入!$E$2),"",IF(1-輸入!$E$2=0,0,SUMPRODUCT($L$2:$L$13*CX62/$BB$2:$BB$13)*輸入!$E$5+SUMPRODUCT($M$2:$M$13*CX62/(1-輸入!$E$2)/$BC$2:$BC$13)*輸入!$E$6+SUMPRODUCT((($L$2:$L$13*CY62)+($M$2:$M$13*CY62/(1-輸入!$E$2)))/輸入!$S$6)*輸入!$E$8))</f>
        <v>2614190.8424448636</v>
      </c>
    </row>
    <row r="63" spans="1:104" s="2" customFormat="1" ht="15" customHeight="1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163"/>
      <c r="AA63" s="163"/>
      <c r="AB63" s="163"/>
      <c r="AC63" s="163"/>
      <c r="AD63" s="163"/>
      <c r="AE63" s="70"/>
      <c r="AF63" s="70"/>
      <c r="AG63" s="70"/>
      <c r="AH63" s="70"/>
      <c r="AI63" s="70"/>
      <c r="AJ63" s="70"/>
      <c r="AK63" s="70"/>
      <c r="AL63" s="156"/>
      <c r="AM63" s="156"/>
      <c r="AN63" s="156"/>
      <c r="AO63" s="156"/>
      <c r="AP63" s="156"/>
      <c r="AQ63" s="156"/>
      <c r="AR63" s="156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64">
        <v>0.61</v>
      </c>
      <c r="CM63" s="64">
        <f>1-輸入!$E$2-CL63</f>
        <v>0.33999999999999997</v>
      </c>
      <c r="CN63" s="65">
        <f>IF(OR(CL63&lt;0,CM63&lt;0,CL63&gt;1-輸入!$E$2),"",IF(1-輸入!$E$2=0,0,SUMPRODUCT($L$2:$L$13*CL63/$S$2:$S$13)*輸入!$E$5+SUMPRODUCT($M$2:$M$13*CL63/(1-輸入!$E$2)/$T$2:$T$13)*輸入!$E$6+SUMPRODUCT((($L$2:$L$13*CM63)+($M$2:$M$13*CM63/(1-輸入!$E$2)))/輸入!$S$5)*輸入!$E$8))</f>
        <v>2645857.435088465</v>
      </c>
      <c r="CO63" s="57"/>
      <c r="CP63" s="57"/>
      <c r="CX63" s="39">
        <f t="shared" si="25"/>
        <v>0.61000000000000032</v>
      </c>
      <c r="CY63" s="39">
        <f>1-輸入!$E$2-CX63</f>
        <v>0.33999999999999964</v>
      </c>
      <c r="CZ63" s="40">
        <f>IF(OR(CX63&lt;0,CY63&lt;0,CX63&gt;1-輸入!$E$2),"",IF(1-輸入!$E$2=0,0,SUMPRODUCT($L$2:$L$13*CX63/$BB$2:$BB$13)*輸入!$E$5+SUMPRODUCT($M$2:$M$13*CX63/(1-輸入!$E$2)/$BC$2:$BC$13)*輸入!$E$6+SUMPRODUCT((($L$2:$L$13*CY63)+($M$2:$M$13*CY63/(1-輸入!$E$2)))/輸入!$S$6)*輸入!$E$8))</f>
        <v>2597305.4124827208</v>
      </c>
    </row>
    <row r="64" spans="1:104" s="2" customFormat="1" ht="15" customHeight="1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163"/>
      <c r="AA64" s="163"/>
      <c r="AB64" s="163"/>
      <c r="AC64" s="163"/>
      <c r="AD64" s="163"/>
      <c r="AE64" s="70"/>
      <c r="AF64" s="70"/>
      <c r="AG64" s="70"/>
      <c r="AH64" s="70"/>
      <c r="AI64" s="70"/>
      <c r="AJ64" s="70"/>
      <c r="AK64" s="70"/>
      <c r="AL64" s="156"/>
      <c r="AM64" s="156"/>
      <c r="AN64" s="156"/>
      <c r="AO64" s="156"/>
      <c r="AP64" s="156"/>
      <c r="AQ64" s="156"/>
      <c r="AR64" s="156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64">
        <v>0.62</v>
      </c>
      <c r="CM64" s="64">
        <f>1-輸入!$E$2-CL64</f>
        <v>0.32999999999999996</v>
      </c>
      <c r="CN64" s="65">
        <f>IF(OR(CL64&lt;0,CM64&lt;0,CL64&gt;1-輸入!$E$2),"",IF(1-輸入!$E$2=0,0,SUMPRODUCT($L$2:$L$13*CL64/$S$2:$S$13)*輸入!$E$5+SUMPRODUCT($M$2:$M$13*CL64/(1-輸入!$E$2)/$T$2:$T$13)*輸入!$E$6+SUMPRODUCT((($L$2:$L$13*CM64)+($M$2:$M$13*CM64/(1-輸入!$E$2)))/輸入!$S$5)*輸入!$E$8))</f>
        <v>2631089.3667501588</v>
      </c>
      <c r="CO64" s="57"/>
      <c r="CP64" s="57"/>
      <c r="CX64" s="39">
        <f t="shared" si="25"/>
        <v>0.62000000000000033</v>
      </c>
      <c r="CY64" s="39">
        <f>1-輸入!$E$2-CX64</f>
        <v>0.32999999999999963</v>
      </c>
      <c r="CZ64" s="40">
        <f>IF(OR(CX64&lt;0,CY64&lt;0,CX64&gt;1-輸入!$E$2),"",IF(1-輸入!$E$2=0,0,SUMPRODUCT($L$2:$L$13*CX64/$BB$2:$BB$13)*輸入!$E$5+SUMPRODUCT($M$2:$M$13*CX64/(1-輸入!$E$2)/$BC$2:$BC$13)*輸入!$E$6+SUMPRODUCT((($L$2:$L$13*CY64)+($M$2:$M$13*CY64/(1-輸入!$E$2)))/輸入!$S$6)*輸入!$E$8))</f>
        <v>2580419.982520578</v>
      </c>
    </row>
    <row r="65" spans="1:104" s="2" customFormat="1" ht="15" customHeight="1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163"/>
      <c r="AA65" s="163"/>
      <c r="AB65" s="163"/>
      <c r="AC65" s="163"/>
      <c r="AD65" s="163"/>
      <c r="AE65" s="70"/>
      <c r="AF65" s="70"/>
      <c r="AG65" s="70"/>
      <c r="AH65" s="70"/>
      <c r="AI65" s="70"/>
      <c r="AJ65" s="70"/>
      <c r="AK65" s="70"/>
      <c r="AL65" s="156"/>
      <c r="AM65" s="156"/>
      <c r="AN65" s="156"/>
      <c r="AO65" s="156"/>
      <c r="AP65" s="156"/>
      <c r="AQ65" s="156"/>
      <c r="AR65" s="156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64">
        <v>0.63</v>
      </c>
      <c r="CM65" s="64">
        <f>1-輸入!$E$2-CL65</f>
        <v>0.31999999999999995</v>
      </c>
      <c r="CN65" s="65">
        <f>IF(OR(CL65&lt;0,CM65&lt;0,CL65&gt;1-輸入!$E$2),"",IF(1-輸入!$E$2=0,0,SUMPRODUCT($L$2:$L$13*CL65/$S$2:$S$13)*輸入!$E$5+SUMPRODUCT($M$2:$M$13*CL65/(1-輸入!$E$2)/$T$2:$T$13)*輸入!$E$6+SUMPRODUCT((($L$2:$L$13*CM65)+($M$2:$M$13*CM65/(1-輸入!$E$2)))/輸入!$S$5)*輸入!$E$8))</f>
        <v>2616321.2984118527</v>
      </c>
      <c r="CO65" s="57"/>
      <c r="CP65" s="57"/>
      <c r="CX65" s="39">
        <f t="shared" si="25"/>
        <v>0.63000000000000034</v>
      </c>
      <c r="CY65" s="39">
        <f>1-輸入!$E$2-CX65</f>
        <v>0.31999999999999962</v>
      </c>
      <c r="CZ65" s="40">
        <f>IF(OR(CX65&lt;0,CY65&lt;0,CX65&gt;1-輸入!$E$2),"",IF(1-輸入!$E$2=0,0,SUMPRODUCT($L$2:$L$13*CX65/$BB$2:$BB$13)*輸入!$E$5+SUMPRODUCT($M$2:$M$13*CX65/(1-輸入!$E$2)/$BC$2:$BC$13)*輸入!$E$6+SUMPRODUCT((($L$2:$L$13*CY65)+($M$2:$M$13*CY65/(1-輸入!$E$2)))/輸入!$S$6)*輸入!$E$8))</f>
        <v>2563534.5525584351</v>
      </c>
    </row>
    <row r="66" spans="1:104" s="2" customFormat="1" ht="15" customHeight="1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163"/>
      <c r="AA66" s="163"/>
      <c r="AB66" s="163"/>
      <c r="AC66" s="163"/>
      <c r="AD66" s="163"/>
      <c r="AE66" s="70"/>
      <c r="AF66" s="70"/>
      <c r="AG66" s="70"/>
      <c r="AH66" s="70"/>
      <c r="AI66" s="70"/>
      <c r="AJ66" s="70"/>
      <c r="AK66" s="70"/>
      <c r="AL66" s="156"/>
      <c r="AM66" s="156"/>
      <c r="AN66" s="156"/>
      <c r="AO66" s="156"/>
      <c r="AP66" s="156"/>
      <c r="AQ66" s="156"/>
      <c r="AR66" s="156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64">
        <v>0.64</v>
      </c>
      <c r="CM66" s="64">
        <f>1-輸入!$E$2-CL66</f>
        <v>0.30999999999999994</v>
      </c>
      <c r="CN66" s="65">
        <f>IF(OR(CL66&lt;0,CM66&lt;0,CL66&gt;1-輸入!$E$2),"",IF(1-輸入!$E$2=0,0,SUMPRODUCT($L$2:$L$13*CL66/$S$2:$S$13)*輸入!$E$5+SUMPRODUCT($M$2:$M$13*CL66/(1-輸入!$E$2)/$T$2:$T$13)*輸入!$E$6+SUMPRODUCT((($L$2:$L$13*CM66)+($M$2:$M$13*CM66/(1-輸入!$E$2)))/輸入!$S$5)*輸入!$E$8))</f>
        <v>2601553.2300735461</v>
      </c>
      <c r="CO66" s="57"/>
      <c r="CP66" s="57"/>
      <c r="CX66" s="39">
        <f t="shared" si="25"/>
        <v>0.64000000000000035</v>
      </c>
      <c r="CY66" s="39">
        <f>1-輸入!$E$2-CX66</f>
        <v>0.30999999999999961</v>
      </c>
      <c r="CZ66" s="40">
        <f>IF(OR(CX66&lt;0,CY66&lt;0,CX66&gt;1-輸入!$E$2),"",IF(1-輸入!$E$2=0,0,SUMPRODUCT($L$2:$L$13*CX66/$BB$2:$BB$13)*輸入!$E$5+SUMPRODUCT($M$2:$M$13*CX66/(1-輸入!$E$2)/$BC$2:$BC$13)*輸入!$E$6+SUMPRODUCT((($L$2:$L$13*CY66)+($M$2:$M$13*CY66/(1-輸入!$E$2)))/輸入!$S$6)*輸入!$E$8))</f>
        <v>2546649.1225962928</v>
      </c>
    </row>
    <row r="67" spans="1:104" s="2" customFormat="1" ht="15" customHeight="1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163"/>
      <c r="AA67" s="163"/>
      <c r="AB67" s="163"/>
      <c r="AC67" s="163"/>
      <c r="AD67" s="163"/>
      <c r="AE67" s="70"/>
      <c r="AF67" s="70"/>
      <c r="AG67" s="70"/>
      <c r="AH67" s="70"/>
      <c r="AI67" s="70"/>
      <c r="AJ67" s="70"/>
      <c r="AK67" s="70"/>
      <c r="AL67" s="156"/>
      <c r="AM67" s="156"/>
      <c r="AN67" s="156"/>
      <c r="AO67" s="156"/>
      <c r="AP67" s="156"/>
      <c r="AQ67" s="156"/>
      <c r="AR67" s="156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64">
        <v>0.65</v>
      </c>
      <c r="CM67" s="64">
        <f>1-輸入!$E$2-CL67</f>
        <v>0.29999999999999993</v>
      </c>
      <c r="CN67" s="65">
        <f>IF(OR(CL67&lt;0,CM67&lt;0,CL67&gt;1-輸入!$E$2),"",IF(1-輸入!$E$2=0,0,SUMPRODUCT($L$2:$L$13*CL67/$S$2:$S$13)*輸入!$E$5+SUMPRODUCT($M$2:$M$13*CL67/(1-輸入!$E$2)/$T$2:$T$13)*輸入!$E$6+SUMPRODUCT((($L$2:$L$13*CM67)+($M$2:$M$13*CM67/(1-輸入!$E$2)))/輸入!$S$5)*輸入!$E$8))</f>
        <v>2586785.1617352404</v>
      </c>
      <c r="CO67" s="57"/>
      <c r="CP67" s="57"/>
      <c r="CX67" s="39">
        <f t="shared" ref="CX67:CX102" si="26">CX66+0.01</f>
        <v>0.65000000000000036</v>
      </c>
      <c r="CY67" s="39">
        <f>1-輸入!$E$2-CX67</f>
        <v>0.2999999999999996</v>
      </c>
      <c r="CZ67" s="40">
        <f>IF(OR(CX67&lt;0,CY67&lt;0,CX67&gt;1-輸入!$E$2),"",IF(1-輸入!$E$2=0,0,SUMPRODUCT($L$2:$L$13*CX67/$BB$2:$BB$13)*輸入!$E$5+SUMPRODUCT($M$2:$M$13*CX67/(1-輸入!$E$2)/$BC$2:$BC$13)*輸入!$E$6+SUMPRODUCT((($L$2:$L$13*CY67)+($M$2:$M$13*CY67/(1-輸入!$E$2)))/輸入!$S$6)*輸入!$E$8))</f>
        <v>2529763.6926341499</v>
      </c>
    </row>
    <row r="68" spans="1:104" s="2" customFormat="1" ht="15" customHeight="1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163"/>
      <c r="AA68" s="163"/>
      <c r="AB68" s="163"/>
      <c r="AC68" s="163"/>
      <c r="AD68" s="163"/>
      <c r="AE68" s="70"/>
      <c r="AF68" s="70"/>
      <c r="AG68" s="70"/>
      <c r="AH68" s="70"/>
      <c r="AI68" s="70"/>
      <c r="AJ68" s="70"/>
      <c r="AK68" s="70"/>
      <c r="AL68" s="156"/>
      <c r="AM68" s="156"/>
      <c r="AN68" s="156"/>
      <c r="AO68" s="156"/>
      <c r="AP68" s="156"/>
      <c r="AQ68" s="156"/>
      <c r="AR68" s="156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64">
        <v>0.66</v>
      </c>
      <c r="CM68" s="64">
        <f>1-輸入!$E$2-CL68</f>
        <v>0.28999999999999992</v>
      </c>
      <c r="CN68" s="65">
        <f>IF(OR(CL68&lt;0,CM68&lt;0,CL68&gt;1-輸入!$E$2),"",IF(1-輸入!$E$2=0,0,SUMPRODUCT($L$2:$L$13*CL68/$S$2:$S$13)*輸入!$E$5+SUMPRODUCT($M$2:$M$13*CL68/(1-輸入!$E$2)/$T$2:$T$13)*輸入!$E$6+SUMPRODUCT((($L$2:$L$13*CM68)+($M$2:$M$13*CM68/(1-輸入!$E$2)))/輸入!$S$5)*輸入!$E$8))</f>
        <v>2572017.0933969347</v>
      </c>
      <c r="CO68" s="57"/>
      <c r="CP68" s="57"/>
      <c r="CX68" s="39">
        <f t="shared" si="26"/>
        <v>0.66000000000000036</v>
      </c>
      <c r="CY68" s="39">
        <f>1-輸入!$E$2-CX68</f>
        <v>0.28999999999999959</v>
      </c>
      <c r="CZ68" s="40">
        <f>IF(OR(CX68&lt;0,CY68&lt;0,CX68&gt;1-輸入!$E$2),"",IF(1-輸入!$E$2=0,0,SUMPRODUCT($L$2:$L$13*CX68/$BB$2:$BB$13)*輸入!$E$5+SUMPRODUCT($M$2:$M$13*CX68/(1-輸入!$E$2)/$BC$2:$BC$13)*輸入!$E$6+SUMPRODUCT((($L$2:$L$13*CY68)+($M$2:$M$13*CY68/(1-輸入!$E$2)))/輸入!$S$6)*輸入!$E$8))</f>
        <v>2512878.2626720075</v>
      </c>
    </row>
    <row r="69" spans="1:104" s="2" customFormat="1" ht="15" customHeight="1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163"/>
      <c r="AA69" s="163"/>
      <c r="AB69" s="163"/>
      <c r="AC69" s="163"/>
      <c r="AD69" s="163"/>
      <c r="AE69" s="70"/>
      <c r="AF69" s="70"/>
      <c r="AG69" s="70"/>
      <c r="AH69" s="70"/>
      <c r="AI69" s="70"/>
      <c r="AJ69" s="70"/>
      <c r="AK69" s="70"/>
      <c r="AL69" s="156"/>
      <c r="AM69" s="156"/>
      <c r="AN69" s="156"/>
      <c r="AO69" s="156"/>
      <c r="AP69" s="156"/>
      <c r="AQ69" s="156"/>
      <c r="AR69" s="156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64">
        <v>0.67</v>
      </c>
      <c r="CM69" s="64">
        <f>1-輸入!$E$2-CL69</f>
        <v>0.27999999999999992</v>
      </c>
      <c r="CN69" s="65">
        <f>IF(OR(CL69&lt;0,CM69&lt;0,CL69&gt;1-輸入!$E$2),"",IF(1-輸入!$E$2=0,0,SUMPRODUCT($L$2:$L$13*CL69/$S$2:$S$13)*輸入!$E$5+SUMPRODUCT($M$2:$M$13*CL69/(1-輸入!$E$2)/$T$2:$T$13)*輸入!$E$6+SUMPRODUCT((($L$2:$L$13*CM69)+($M$2:$M$13*CM69/(1-輸入!$E$2)))/輸入!$S$5)*輸入!$E$8))</f>
        <v>2557249.025058629</v>
      </c>
      <c r="CO69" s="57"/>
      <c r="CP69" s="57"/>
      <c r="CX69" s="39">
        <f t="shared" si="26"/>
        <v>0.67000000000000037</v>
      </c>
      <c r="CY69" s="39">
        <f>1-輸入!$E$2-CX69</f>
        <v>0.27999999999999958</v>
      </c>
      <c r="CZ69" s="40">
        <f>IF(OR(CX69&lt;0,CY69&lt;0,CX69&gt;1-輸入!$E$2),"",IF(1-輸入!$E$2=0,0,SUMPRODUCT($L$2:$L$13*CX69/$BB$2:$BB$13)*輸入!$E$5+SUMPRODUCT($M$2:$M$13*CX69/(1-輸入!$E$2)/$BC$2:$BC$13)*輸入!$E$6+SUMPRODUCT((($L$2:$L$13*CY69)+($M$2:$M$13*CY69/(1-輸入!$E$2)))/輸入!$S$6)*輸入!$E$8))</f>
        <v>2495992.8327098647</v>
      </c>
    </row>
    <row r="70" spans="1:104" s="2" customFormat="1" ht="15" customHeight="1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163"/>
      <c r="AA70" s="163"/>
      <c r="AB70" s="163"/>
      <c r="AC70" s="163"/>
      <c r="AD70" s="163"/>
      <c r="AE70" s="70"/>
      <c r="AF70" s="70"/>
      <c r="AG70" s="70"/>
      <c r="AH70" s="70"/>
      <c r="AI70" s="70"/>
      <c r="AJ70" s="70"/>
      <c r="AK70" s="70"/>
      <c r="AL70" s="156"/>
      <c r="AM70" s="156"/>
      <c r="AN70" s="156"/>
      <c r="AO70" s="156"/>
      <c r="AP70" s="156"/>
      <c r="AQ70" s="156"/>
      <c r="AR70" s="156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64">
        <v>0.68</v>
      </c>
      <c r="CM70" s="64">
        <f>1-輸入!$E$2-CL70</f>
        <v>0.26999999999999991</v>
      </c>
      <c r="CN70" s="65">
        <f>IF(OR(CL70&lt;0,CM70&lt;0,CL70&gt;1-輸入!$E$2),"",IF(1-輸入!$E$2=0,0,SUMPRODUCT($L$2:$L$13*CL70/$S$2:$S$13)*輸入!$E$5+SUMPRODUCT($M$2:$M$13*CL70/(1-輸入!$E$2)/$T$2:$T$13)*輸入!$E$6+SUMPRODUCT((($L$2:$L$13*CM70)+($M$2:$M$13*CM70/(1-輸入!$E$2)))/輸入!$S$5)*輸入!$E$8))</f>
        <v>2542480.9567203228</v>
      </c>
      <c r="CO70" s="57"/>
      <c r="CP70" s="57"/>
      <c r="CX70" s="39">
        <f t="shared" si="26"/>
        <v>0.68000000000000038</v>
      </c>
      <c r="CY70" s="39">
        <f>1-輸入!$E$2-CX70</f>
        <v>0.26999999999999957</v>
      </c>
      <c r="CZ70" s="40">
        <f>IF(OR(CX70&lt;0,CY70&lt;0,CX70&gt;1-輸入!$E$2),"",IF(1-輸入!$E$2=0,0,SUMPRODUCT($L$2:$L$13*CX70/$BB$2:$BB$13)*輸入!$E$5+SUMPRODUCT($M$2:$M$13*CX70/(1-輸入!$E$2)/$BC$2:$BC$13)*輸入!$E$6+SUMPRODUCT((($L$2:$L$13*CY70)+($M$2:$M$13*CY70/(1-輸入!$E$2)))/輸入!$S$6)*輸入!$E$8))</f>
        <v>2479107.4027477219</v>
      </c>
    </row>
    <row r="71" spans="1:104" s="2" customFormat="1" ht="15" customHeight="1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163"/>
      <c r="AA71" s="163"/>
      <c r="AB71" s="163"/>
      <c r="AC71" s="163"/>
      <c r="AD71" s="163"/>
      <c r="AE71" s="70"/>
      <c r="AF71" s="70"/>
      <c r="AG71" s="70"/>
      <c r="AH71" s="70"/>
      <c r="AI71" s="70"/>
      <c r="AJ71" s="70"/>
      <c r="AK71" s="70"/>
      <c r="AL71" s="156"/>
      <c r="AM71" s="156"/>
      <c r="AN71" s="156"/>
      <c r="AO71" s="156"/>
      <c r="AP71" s="156"/>
      <c r="AQ71" s="156"/>
      <c r="AR71" s="156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64">
        <v>0.69</v>
      </c>
      <c r="CM71" s="64">
        <f>1-輸入!$E$2-CL71</f>
        <v>0.26</v>
      </c>
      <c r="CN71" s="65">
        <f>IF(OR(CL71&lt;0,CM71&lt;0,CL71&gt;1-輸入!$E$2),"",IF(1-輸入!$E$2=0,0,SUMPRODUCT($L$2:$L$13*CL71/$S$2:$S$13)*輸入!$E$5+SUMPRODUCT($M$2:$M$13*CL71/(1-輸入!$E$2)/$T$2:$T$13)*輸入!$E$6+SUMPRODUCT((($L$2:$L$13*CM71)+($M$2:$M$13*CM71/(1-輸入!$E$2)))/輸入!$S$5)*輸入!$E$8))</f>
        <v>2527712.8883820171</v>
      </c>
      <c r="CO71" s="57"/>
      <c r="CP71" s="57"/>
      <c r="CX71" s="39">
        <f t="shared" si="26"/>
        <v>0.69000000000000039</v>
      </c>
      <c r="CY71" s="39">
        <f>1-輸入!$E$2-CX71</f>
        <v>0.25999999999999956</v>
      </c>
      <c r="CZ71" s="40">
        <f>IF(OR(CX71&lt;0,CY71&lt;0,CX71&gt;1-輸入!$E$2),"",IF(1-輸入!$E$2=0,0,SUMPRODUCT($L$2:$L$13*CX71/$BB$2:$BB$13)*輸入!$E$5+SUMPRODUCT($M$2:$M$13*CX71/(1-輸入!$E$2)/$BC$2:$BC$13)*輸入!$E$6+SUMPRODUCT((($L$2:$L$13*CY71)+($M$2:$M$13*CY71/(1-輸入!$E$2)))/輸入!$S$6)*輸入!$E$8))</f>
        <v>2462221.972785579</v>
      </c>
    </row>
    <row r="72" spans="1:104" s="2" customFormat="1" ht="15" customHeight="1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163"/>
      <c r="AA72" s="163"/>
      <c r="AB72" s="163"/>
      <c r="AC72" s="163"/>
      <c r="AD72" s="163"/>
      <c r="AE72" s="70"/>
      <c r="AF72" s="70"/>
      <c r="AG72" s="70"/>
      <c r="AH72" s="70"/>
      <c r="AI72" s="70"/>
      <c r="AJ72" s="70"/>
      <c r="AK72" s="70"/>
      <c r="AL72" s="156"/>
      <c r="AM72" s="156"/>
      <c r="AN72" s="156"/>
      <c r="AO72" s="156"/>
      <c r="AP72" s="156"/>
      <c r="AQ72" s="156"/>
      <c r="AR72" s="156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64">
        <v>0.7</v>
      </c>
      <c r="CM72" s="64">
        <f>1-輸入!$E$2-CL72</f>
        <v>0.25</v>
      </c>
      <c r="CN72" s="65">
        <f>IF(OR(CL72&lt;0,CM72&lt;0,CL72&gt;1-輸入!$E$2),"",IF(1-輸入!$E$2=0,0,SUMPRODUCT($L$2:$L$13*CL72/$S$2:$S$13)*輸入!$E$5+SUMPRODUCT($M$2:$M$13*CL72/(1-輸入!$E$2)/$T$2:$T$13)*輸入!$E$6+SUMPRODUCT((($L$2:$L$13*CM72)+($M$2:$M$13*CM72/(1-輸入!$E$2)))/輸入!$S$5)*輸入!$E$8))</f>
        <v>2512944.820043711</v>
      </c>
      <c r="CO72" s="57"/>
      <c r="CP72" s="57"/>
      <c r="CX72" s="39">
        <f t="shared" si="26"/>
        <v>0.7000000000000004</v>
      </c>
      <c r="CY72" s="39">
        <f>1-輸入!$E$2-CX72</f>
        <v>0.24999999999999956</v>
      </c>
      <c r="CZ72" s="40">
        <f>IF(OR(CX72&lt;0,CY72&lt;0,CX72&gt;1-輸入!$E$2),"",IF(1-輸入!$E$2=0,0,SUMPRODUCT($L$2:$L$13*CX72/$BB$2:$BB$13)*輸入!$E$5+SUMPRODUCT($M$2:$M$13*CX72/(1-輸入!$E$2)/$BC$2:$BC$13)*輸入!$E$6+SUMPRODUCT((($L$2:$L$13*CY72)+($M$2:$M$13*CY72/(1-輸入!$E$2)))/輸入!$S$6)*輸入!$E$8))</f>
        <v>2445336.5428234362</v>
      </c>
    </row>
    <row r="73" spans="1:104" s="2" customFormat="1" ht="15" customHeight="1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163"/>
      <c r="AA73" s="163"/>
      <c r="AB73" s="163"/>
      <c r="AC73" s="163"/>
      <c r="AD73" s="163"/>
      <c r="AE73" s="70"/>
      <c r="AF73" s="70"/>
      <c r="AG73" s="70"/>
      <c r="AH73" s="70"/>
      <c r="AI73" s="70"/>
      <c r="AJ73" s="70"/>
      <c r="AK73" s="70"/>
      <c r="AL73" s="156"/>
      <c r="AM73" s="156"/>
      <c r="AN73" s="156"/>
      <c r="AO73" s="156"/>
      <c r="AP73" s="156"/>
      <c r="AQ73" s="156"/>
      <c r="AR73" s="156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64">
        <v>0.71</v>
      </c>
      <c r="CM73" s="64">
        <f>1-輸入!$E$2-CL73</f>
        <v>0.24</v>
      </c>
      <c r="CN73" s="65">
        <f>IF(OR(CL73&lt;0,CM73&lt;0,CL73&gt;1-輸入!$E$2),"",IF(1-輸入!$E$2=0,0,SUMPRODUCT($L$2:$L$13*CL73/$S$2:$S$13)*輸入!$E$5+SUMPRODUCT($M$2:$M$13*CL73/(1-輸入!$E$2)/$T$2:$T$13)*輸入!$E$6+SUMPRODUCT((($L$2:$L$13*CM73)+($M$2:$M$13*CM73/(1-輸入!$E$2)))/輸入!$S$5)*輸入!$E$8))</f>
        <v>2498176.7517054053</v>
      </c>
      <c r="CO73" s="57"/>
      <c r="CP73" s="57"/>
      <c r="CX73" s="39">
        <f t="shared" si="26"/>
        <v>0.71000000000000041</v>
      </c>
      <c r="CY73" s="39">
        <f>1-輸入!$E$2-CX73</f>
        <v>0.23999999999999955</v>
      </c>
      <c r="CZ73" s="40">
        <f>IF(OR(CX73&lt;0,CY73&lt;0,CX73&gt;1-輸入!$E$2),"",IF(1-輸入!$E$2=0,0,SUMPRODUCT($L$2:$L$13*CX73/$BB$2:$BB$13)*輸入!$E$5+SUMPRODUCT($M$2:$M$13*CX73/(1-輸入!$E$2)/$BC$2:$BC$13)*輸入!$E$6+SUMPRODUCT((($L$2:$L$13*CY73)+($M$2:$M$13*CY73/(1-輸入!$E$2)))/輸入!$S$6)*輸入!$E$8))</f>
        <v>2428451.1128612938</v>
      </c>
    </row>
    <row r="74" spans="1:104" s="2" customFormat="1" ht="15" customHeight="1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163"/>
      <c r="AA74" s="163"/>
      <c r="AB74" s="163"/>
      <c r="AC74" s="163"/>
      <c r="AD74" s="163"/>
      <c r="AE74" s="70"/>
      <c r="AF74" s="70"/>
      <c r="AG74" s="70"/>
      <c r="AH74" s="70"/>
      <c r="AI74" s="70"/>
      <c r="AJ74" s="70"/>
      <c r="AK74" s="70"/>
      <c r="AL74" s="156"/>
      <c r="AM74" s="156"/>
      <c r="AN74" s="156"/>
      <c r="AO74" s="156"/>
      <c r="AP74" s="156"/>
      <c r="AQ74" s="156"/>
      <c r="AR74" s="156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64">
        <v>0.72</v>
      </c>
      <c r="CM74" s="64">
        <f>1-輸入!$E$2-CL74</f>
        <v>0.22999999999999998</v>
      </c>
      <c r="CN74" s="65">
        <f>IF(OR(CL74&lt;0,CM74&lt;0,CL74&gt;1-輸入!$E$2),"",IF(1-輸入!$E$2=0,0,SUMPRODUCT($L$2:$L$13*CL74/$S$2:$S$13)*輸入!$E$5+SUMPRODUCT($M$2:$M$13*CL74/(1-輸入!$E$2)/$T$2:$T$13)*輸入!$E$6+SUMPRODUCT((($L$2:$L$13*CM74)+($M$2:$M$13*CM74/(1-輸入!$E$2)))/輸入!$S$5)*輸入!$E$8))</f>
        <v>2483408.6833670996</v>
      </c>
      <c r="CO74" s="57"/>
      <c r="CP74" s="57"/>
      <c r="CX74" s="39">
        <f t="shared" si="26"/>
        <v>0.72000000000000042</v>
      </c>
      <c r="CY74" s="39">
        <f>1-輸入!$E$2-CX74</f>
        <v>0.22999999999999954</v>
      </c>
      <c r="CZ74" s="40">
        <f>IF(OR(CX74&lt;0,CY74&lt;0,CX74&gt;1-輸入!$E$2),"",IF(1-輸入!$E$2=0,0,SUMPRODUCT($L$2:$L$13*CX74/$BB$2:$BB$13)*輸入!$E$5+SUMPRODUCT($M$2:$M$13*CX74/(1-輸入!$E$2)/$BC$2:$BC$13)*輸入!$E$6+SUMPRODUCT((($L$2:$L$13*CY74)+($M$2:$M$13*CY74/(1-輸入!$E$2)))/輸入!$S$6)*輸入!$E$8))</f>
        <v>2411565.682899151</v>
      </c>
    </row>
    <row r="75" spans="1:104" s="2" customFormat="1" ht="15" customHeight="1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163"/>
      <c r="AA75" s="163"/>
      <c r="AB75" s="163"/>
      <c r="AC75" s="163"/>
      <c r="AD75" s="163"/>
      <c r="AE75" s="70"/>
      <c r="AF75" s="70"/>
      <c r="AG75" s="70"/>
      <c r="AH75" s="70"/>
      <c r="AI75" s="70"/>
      <c r="AJ75" s="70"/>
      <c r="AK75" s="70"/>
      <c r="AL75" s="156"/>
      <c r="AM75" s="156"/>
      <c r="AN75" s="156"/>
      <c r="AO75" s="156"/>
      <c r="AP75" s="156"/>
      <c r="AQ75" s="156"/>
      <c r="AR75" s="156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64">
        <v>0.73</v>
      </c>
      <c r="CM75" s="64">
        <f>1-輸入!$E$2-CL75</f>
        <v>0.21999999999999997</v>
      </c>
      <c r="CN75" s="65">
        <f>IF(OR(CL75&lt;0,CM75&lt;0,CL75&gt;1-輸入!$E$2),"",IF(1-輸入!$E$2=0,0,SUMPRODUCT($L$2:$L$13*CL75/$S$2:$S$13)*輸入!$E$5+SUMPRODUCT($M$2:$M$13*CL75/(1-輸入!$E$2)/$T$2:$T$13)*輸入!$E$6+SUMPRODUCT((($L$2:$L$13*CM75)+($M$2:$M$13*CM75/(1-輸入!$E$2)))/輸入!$S$5)*輸入!$E$8))</f>
        <v>2468640.615028793</v>
      </c>
      <c r="CO75" s="57"/>
      <c r="CP75" s="57"/>
      <c r="CX75" s="39">
        <f t="shared" si="26"/>
        <v>0.73000000000000043</v>
      </c>
      <c r="CY75" s="39">
        <f>1-輸入!$E$2-CX75</f>
        <v>0.21999999999999953</v>
      </c>
      <c r="CZ75" s="40">
        <f>IF(OR(CX75&lt;0,CY75&lt;0,CX75&gt;1-輸入!$E$2),"",IF(1-輸入!$E$2=0,0,SUMPRODUCT($L$2:$L$13*CX75/$BB$2:$BB$13)*輸入!$E$5+SUMPRODUCT($M$2:$M$13*CX75/(1-輸入!$E$2)/$BC$2:$BC$13)*輸入!$E$6+SUMPRODUCT((($L$2:$L$13*CY75)+($M$2:$M$13*CY75/(1-輸入!$E$2)))/輸入!$S$6)*輸入!$E$8))</f>
        <v>2394680.2529370082</v>
      </c>
    </row>
    <row r="76" spans="1:104" s="2" customFormat="1" ht="15" customHeight="1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163"/>
      <c r="AA76" s="163"/>
      <c r="AB76" s="163"/>
      <c r="AC76" s="163"/>
      <c r="AD76" s="163"/>
      <c r="AE76" s="70"/>
      <c r="AF76" s="70"/>
      <c r="AG76" s="70"/>
      <c r="AH76" s="70"/>
      <c r="AI76" s="70"/>
      <c r="AJ76" s="70"/>
      <c r="AK76" s="70"/>
      <c r="AL76" s="156"/>
      <c r="AM76" s="156"/>
      <c r="AN76" s="156"/>
      <c r="AO76" s="156"/>
      <c r="AP76" s="156"/>
      <c r="AQ76" s="156"/>
      <c r="AR76" s="156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64">
        <v>0.74</v>
      </c>
      <c r="CM76" s="64">
        <f>1-輸入!$E$2-CL76</f>
        <v>0.20999999999999996</v>
      </c>
      <c r="CN76" s="65">
        <f>IF(OR(CL76&lt;0,CM76&lt;0,CL76&gt;1-輸入!$E$2),"",IF(1-輸入!$E$2=0,0,SUMPRODUCT($L$2:$L$13*CL76/$S$2:$S$13)*輸入!$E$5+SUMPRODUCT($M$2:$M$13*CL76/(1-輸入!$E$2)/$T$2:$T$13)*輸入!$E$6+SUMPRODUCT((($L$2:$L$13*CM76)+($M$2:$M$13*CM76/(1-輸入!$E$2)))/輸入!$S$5)*輸入!$E$8))</f>
        <v>2453872.5466904873</v>
      </c>
      <c r="CO76" s="57"/>
      <c r="CP76" s="57"/>
      <c r="CX76" s="39">
        <f t="shared" si="26"/>
        <v>0.74000000000000044</v>
      </c>
      <c r="CY76" s="39">
        <f>1-輸入!$E$2-CX76</f>
        <v>0.20999999999999952</v>
      </c>
      <c r="CZ76" s="40">
        <f>IF(OR(CX76&lt;0,CY76&lt;0,CX76&gt;1-輸入!$E$2),"",IF(1-輸入!$E$2=0,0,SUMPRODUCT($L$2:$L$13*CX76/$BB$2:$BB$13)*輸入!$E$5+SUMPRODUCT($M$2:$M$13*CX76/(1-輸入!$E$2)/$BC$2:$BC$13)*輸入!$E$6+SUMPRODUCT((($L$2:$L$13*CY76)+($M$2:$M$13*CY76/(1-輸入!$E$2)))/輸入!$S$6)*輸入!$E$8))</f>
        <v>2377794.8229748653</v>
      </c>
    </row>
    <row r="77" spans="1:104" s="2" customFormat="1" ht="15" customHeight="1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163"/>
      <c r="AA77" s="163"/>
      <c r="AB77" s="163"/>
      <c r="AC77" s="163"/>
      <c r="AD77" s="163"/>
      <c r="AE77" s="70"/>
      <c r="AF77" s="70"/>
      <c r="AG77" s="70"/>
      <c r="AH77" s="70"/>
      <c r="AI77" s="70"/>
      <c r="AJ77" s="70"/>
      <c r="AK77" s="70"/>
      <c r="AL77" s="156"/>
      <c r="AM77" s="156"/>
      <c r="AN77" s="156"/>
      <c r="AO77" s="156"/>
      <c r="AP77" s="156"/>
      <c r="AQ77" s="156"/>
      <c r="AR77" s="156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64">
        <v>0.75</v>
      </c>
      <c r="CM77" s="64">
        <f>1-輸入!$E$2-CL77</f>
        <v>0.19999999999999996</v>
      </c>
      <c r="CN77" s="65">
        <f>IF(OR(CL77&lt;0,CM77&lt;0,CL77&gt;1-輸入!$E$2),"",IF(1-輸入!$E$2=0,0,SUMPRODUCT($L$2:$L$13*CL77/$S$2:$S$13)*輸入!$E$5+SUMPRODUCT($M$2:$M$13*CL77/(1-輸入!$E$2)/$T$2:$T$13)*輸入!$E$6+SUMPRODUCT((($L$2:$L$13*CM77)+($M$2:$M$13*CM77/(1-輸入!$E$2)))/輸入!$S$5)*輸入!$E$8))</f>
        <v>2439104.4783521811</v>
      </c>
      <c r="CO77" s="57"/>
      <c r="CP77" s="57"/>
      <c r="CX77" s="39">
        <f t="shared" si="26"/>
        <v>0.75000000000000044</v>
      </c>
      <c r="CY77" s="39">
        <f>1-輸入!$E$2-CX77</f>
        <v>0.19999999999999951</v>
      </c>
      <c r="CZ77" s="40">
        <f>IF(OR(CX77&lt;0,CY77&lt;0,CX77&gt;1-輸入!$E$2),"",IF(1-輸入!$E$2=0,0,SUMPRODUCT($L$2:$L$13*CX77/$BB$2:$BB$13)*輸入!$E$5+SUMPRODUCT($M$2:$M$13*CX77/(1-輸入!$E$2)/$BC$2:$BC$13)*輸入!$E$6+SUMPRODUCT((($L$2:$L$13*CY77)+($M$2:$M$13*CY77/(1-輸入!$E$2)))/輸入!$S$6)*輸入!$E$8))</f>
        <v>2360909.393012723</v>
      </c>
    </row>
    <row r="78" spans="1:104" s="2" customFormat="1" ht="15" customHeight="1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163"/>
      <c r="AA78" s="163"/>
      <c r="AB78" s="163"/>
      <c r="AC78" s="163"/>
      <c r="AD78" s="163"/>
      <c r="AE78" s="70"/>
      <c r="AF78" s="70"/>
      <c r="AG78" s="70"/>
      <c r="AH78" s="70"/>
      <c r="AI78" s="70"/>
      <c r="AJ78" s="70"/>
      <c r="AK78" s="70"/>
      <c r="AL78" s="156"/>
      <c r="AM78" s="156"/>
      <c r="AN78" s="156"/>
      <c r="AO78" s="156"/>
      <c r="AP78" s="156"/>
      <c r="AQ78" s="156"/>
      <c r="AR78" s="156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64">
        <v>0.76</v>
      </c>
      <c r="CM78" s="64">
        <f>1-輸入!$E$2-CL78</f>
        <v>0.18999999999999995</v>
      </c>
      <c r="CN78" s="65">
        <f>IF(OR(CL78&lt;0,CM78&lt;0,CL78&gt;1-輸入!$E$2),"",IF(1-輸入!$E$2=0,0,SUMPRODUCT($L$2:$L$13*CL78/$S$2:$S$13)*輸入!$E$5+SUMPRODUCT($M$2:$M$13*CL78/(1-輸入!$E$2)/$T$2:$T$13)*輸入!$E$6+SUMPRODUCT((($L$2:$L$13*CM78)+($M$2:$M$13*CM78/(1-輸入!$E$2)))/輸入!$S$5)*輸入!$E$8))</f>
        <v>2424336.410013875</v>
      </c>
      <c r="CO78" s="57"/>
      <c r="CP78" s="57"/>
      <c r="CX78" s="39">
        <f t="shared" si="26"/>
        <v>0.76000000000000045</v>
      </c>
      <c r="CY78" s="39">
        <f>1-輸入!$E$2-CX78</f>
        <v>0.1899999999999995</v>
      </c>
      <c r="CZ78" s="40">
        <f>IF(OR(CX78&lt;0,CY78&lt;0,CX78&gt;1-輸入!$E$2),"",IF(1-輸入!$E$2=0,0,SUMPRODUCT($L$2:$L$13*CX78/$BB$2:$BB$13)*輸入!$E$5+SUMPRODUCT($M$2:$M$13*CX78/(1-輸入!$E$2)/$BC$2:$BC$13)*輸入!$E$6+SUMPRODUCT((($L$2:$L$13*CY78)+($M$2:$M$13*CY78/(1-輸入!$E$2)))/輸入!$S$6)*輸入!$E$8))</f>
        <v>2344023.9630505801</v>
      </c>
    </row>
    <row r="79" spans="1:104" s="2" customFormat="1" ht="15" customHeight="1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163"/>
      <c r="AA79" s="163"/>
      <c r="AB79" s="163"/>
      <c r="AC79" s="163"/>
      <c r="AD79" s="163"/>
      <c r="AE79" s="70"/>
      <c r="AF79" s="70"/>
      <c r="AG79" s="70"/>
      <c r="AH79" s="70"/>
      <c r="AI79" s="70"/>
      <c r="AJ79" s="70"/>
      <c r="AK79" s="70"/>
      <c r="AL79" s="156"/>
      <c r="AM79" s="156"/>
      <c r="AN79" s="156"/>
      <c r="AO79" s="156"/>
      <c r="AP79" s="156"/>
      <c r="AQ79" s="156"/>
      <c r="AR79" s="156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64">
        <v>0.77</v>
      </c>
      <c r="CM79" s="64">
        <f>1-輸入!$E$2-CL79</f>
        <v>0.17999999999999994</v>
      </c>
      <c r="CN79" s="65">
        <f>IF(OR(CL79&lt;0,CM79&lt;0,CL79&gt;1-輸入!$E$2),"",IF(1-輸入!$E$2=0,0,SUMPRODUCT($L$2:$L$13*CL79/$S$2:$S$13)*輸入!$E$5+SUMPRODUCT($M$2:$M$13*CL79/(1-輸入!$E$2)/$T$2:$T$13)*輸入!$E$6+SUMPRODUCT((($L$2:$L$13*CM79)+($M$2:$M$13*CM79/(1-輸入!$E$2)))/輸入!$S$5)*輸入!$E$8))</f>
        <v>2409568.3416755693</v>
      </c>
      <c r="CO79" s="57"/>
      <c r="CP79" s="57"/>
      <c r="CX79" s="39">
        <f t="shared" si="26"/>
        <v>0.77000000000000046</v>
      </c>
      <c r="CY79" s="39">
        <f>1-輸入!$E$2-CX79</f>
        <v>0.17999999999999949</v>
      </c>
      <c r="CZ79" s="40">
        <f>IF(OR(CX79&lt;0,CY79&lt;0,CX79&gt;1-輸入!$E$2),"",IF(1-輸入!$E$2=0,0,SUMPRODUCT($L$2:$L$13*CX79/$BB$2:$BB$13)*輸入!$E$5+SUMPRODUCT($M$2:$M$13*CX79/(1-輸入!$E$2)/$BC$2:$BC$13)*輸入!$E$6+SUMPRODUCT((($L$2:$L$13*CY79)+($M$2:$M$13*CY79/(1-輸入!$E$2)))/輸入!$S$6)*輸入!$E$8))</f>
        <v>2327138.5330884373</v>
      </c>
    </row>
    <row r="80" spans="1:104" s="2" customFormat="1" ht="15" customHeight="1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163"/>
      <c r="AA80" s="163"/>
      <c r="AB80" s="163"/>
      <c r="AC80" s="163"/>
      <c r="AD80" s="163"/>
      <c r="AE80" s="70"/>
      <c r="AF80" s="70"/>
      <c r="AG80" s="70"/>
      <c r="AH80" s="70"/>
      <c r="AI80" s="70"/>
      <c r="AJ80" s="70"/>
      <c r="AK80" s="70"/>
      <c r="AL80" s="156"/>
      <c r="AM80" s="156"/>
      <c r="AN80" s="156"/>
      <c r="AO80" s="156"/>
      <c r="AP80" s="156"/>
      <c r="AQ80" s="156"/>
      <c r="AR80" s="156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64">
        <v>0.78</v>
      </c>
      <c r="CM80" s="64">
        <f>1-輸入!$E$2-CL80</f>
        <v>0.16999999999999993</v>
      </c>
      <c r="CN80" s="65">
        <f>IF(OR(CL80&lt;0,CM80&lt;0,CL80&gt;1-輸入!$E$2),"",IF(1-輸入!$E$2=0,0,SUMPRODUCT($L$2:$L$13*CL80/$S$2:$S$13)*輸入!$E$5+SUMPRODUCT($M$2:$M$13*CL80/(1-輸入!$E$2)/$T$2:$T$13)*輸入!$E$6+SUMPRODUCT((($L$2:$L$13*CM80)+($M$2:$M$13*CM80/(1-輸入!$E$2)))/輸入!$S$5)*輸入!$E$8))</f>
        <v>2394800.2733372636</v>
      </c>
      <c r="CO80" s="57"/>
      <c r="CP80" s="57"/>
      <c r="CX80" s="39">
        <f t="shared" si="26"/>
        <v>0.78000000000000047</v>
      </c>
      <c r="CY80" s="39">
        <f>1-輸入!$E$2-CX80</f>
        <v>0.16999999999999948</v>
      </c>
      <c r="CZ80" s="40">
        <f>IF(OR(CX80&lt;0,CY80&lt;0,CX80&gt;1-輸入!$E$2),"",IF(1-輸入!$E$2=0,0,SUMPRODUCT($L$2:$L$13*CX80/$BB$2:$BB$13)*輸入!$E$5+SUMPRODUCT($M$2:$M$13*CX80/(1-輸入!$E$2)/$BC$2:$BC$13)*輸入!$E$6+SUMPRODUCT((($L$2:$L$13*CY80)+($M$2:$M$13*CY80/(1-輸入!$E$2)))/輸入!$S$6)*輸入!$E$8))</f>
        <v>2310253.1031262949</v>
      </c>
    </row>
    <row r="81" spans="1:104" s="2" customFormat="1" ht="15" customHeight="1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163"/>
      <c r="AA81" s="163"/>
      <c r="AB81" s="163"/>
      <c r="AC81" s="163"/>
      <c r="AD81" s="163"/>
      <c r="AE81" s="70"/>
      <c r="AF81" s="70"/>
      <c r="AG81" s="70"/>
      <c r="AH81" s="70"/>
      <c r="AI81" s="70"/>
      <c r="AJ81" s="70"/>
      <c r="AK81" s="70"/>
      <c r="AL81" s="156"/>
      <c r="AM81" s="156"/>
      <c r="AN81" s="156"/>
      <c r="AO81" s="156"/>
      <c r="AP81" s="156"/>
      <c r="AQ81" s="156"/>
      <c r="AR81" s="156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64">
        <v>0.79</v>
      </c>
      <c r="CM81" s="64">
        <f>1-輸入!$E$2-CL81</f>
        <v>0.15999999999999992</v>
      </c>
      <c r="CN81" s="65">
        <f>IF(OR(CL81&lt;0,CM81&lt;0,CL81&gt;1-輸入!$E$2),"",IF(1-輸入!$E$2=0,0,SUMPRODUCT($L$2:$L$13*CL81/$S$2:$S$13)*輸入!$E$5+SUMPRODUCT($M$2:$M$13*CL81/(1-輸入!$E$2)/$T$2:$T$13)*輸入!$E$6+SUMPRODUCT((($L$2:$L$13*CM81)+($M$2:$M$13*CM81/(1-輸入!$E$2)))/輸入!$S$5)*輸入!$E$8))</f>
        <v>2380032.2049989575</v>
      </c>
      <c r="CO81" s="57"/>
      <c r="CP81" s="57"/>
      <c r="CX81" s="39">
        <f t="shared" si="26"/>
        <v>0.79000000000000048</v>
      </c>
      <c r="CY81" s="39">
        <f>1-輸入!$E$2-CX81</f>
        <v>0.15999999999999948</v>
      </c>
      <c r="CZ81" s="40">
        <f>IF(OR(CX81&lt;0,CY81&lt;0,CX81&gt;1-輸入!$E$2),"",IF(1-輸入!$E$2=0,0,SUMPRODUCT($L$2:$L$13*CX81/$BB$2:$BB$13)*輸入!$E$5+SUMPRODUCT($M$2:$M$13*CX81/(1-輸入!$E$2)/$BC$2:$BC$13)*輸入!$E$6+SUMPRODUCT((($L$2:$L$13*CY81)+($M$2:$M$13*CY81/(1-輸入!$E$2)))/輸入!$S$6)*輸入!$E$8))</f>
        <v>2293367.6731641516</v>
      </c>
    </row>
    <row r="82" spans="1:104" s="2" customFormat="1" ht="15" customHeight="1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163"/>
      <c r="AA82" s="163"/>
      <c r="AB82" s="163"/>
      <c r="AC82" s="163"/>
      <c r="AD82" s="163"/>
      <c r="AE82" s="70"/>
      <c r="AF82" s="70"/>
      <c r="AG82" s="70"/>
      <c r="AH82" s="70"/>
      <c r="AI82" s="70"/>
      <c r="AJ82" s="70"/>
      <c r="AK82" s="70"/>
      <c r="AL82" s="156"/>
      <c r="AM82" s="156"/>
      <c r="AN82" s="156"/>
      <c r="AO82" s="156"/>
      <c r="AP82" s="156"/>
      <c r="AQ82" s="156"/>
      <c r="AR82" s="156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57"/>
      <c r="BX82" s="57"/>
      <c r="BY82" s="57"/>
      <c r="BZ82" s="57"/>
      <c r="CA82" s="57"/>
      <c r="CB82" s="57"/>
      <c r="CC82" s="57"/>
      <c r="CD82" s="57"/>
      <c r="CE82" s="57"/>
      <c r="CF82" s="57"/>
      <c r="CG82" s="57"/>
      <c r="CH82" s="57"/>
      <c r="CI82" s="57"/>
      <c r="CJ82" s="57"/>
      <c r="CK82" s="57"/>
      <c r="CL82" s="64">
        <v>0.8</v>
      </c>
      <c r="CM82" s="64">
        <f>1-輸入!$E$2-CL82</f>
        <v>0.14999999999999991</v>
      </c>
      <c r="CN82" s="65">
        <f>IF(OR(CL82&lt;0,CM82&lt;0,CL82&gt;1-輸入!$E$2),"",IF(1-輸入!$E$2=0,0,SUMPRODUCT($L$2:$L$13*CL82/$S$2:$S$13)*輸入!$E$5+SUMPRODUCT($M$2:$M$13*CL82/(1-輸入!$E$2)/$T$2:$T$13)*輸入!$E$6+SUMPRODUCT((($L$2:$L$13*CM82)+($M$2:$M$13*CM82/(1-輸入!$E$2)))/輸入!$S$5)*輸入!$E$8))</f>
        <v>2365264.1366606518</v>
      </c>
      <c r="CO82" s="57"/>
      <c r="CP82" s="57"/>
      <c r="CX82" s="39">
        <f t="shared" si="26"/>
        <v>0.80000000000000049</v>
      </c>
      <c r="CY82" s="39">
        <f>1-輸入!$E$2-CX82</f>
        <v>0.14999999999999947</v>
      </c>
      <c r="CZ82" s="40">
        <f>IF(OR(CX82&lt;0,CY82&lt;0,CX82&gt;1-輸入!$E$2),"",IF(1-輸入!$E$2=0,0,SUMPRODUCT($L$2:$L$13*CX82/$BB$2:$BB$13)*輸入!$E$5+SUMPRODUCT($M$2:$M$13*CX82/(1-輸入!$E$2)/$BC$2:$BC$13)*輸入!$E$6+SUMPRODUCT((($L$2:$L$13*CY82)+($M$2:$M$13*CY82/(1-輸入!$E$2)))/輸入!$S$6)*輸入!$E$8))</f>
        <v>2276482.2432020092</v>
      </c>
    </row>
    <row r="83" spans="1:104" s="2" customFormat="1" ht="15" customHeight="1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163"/>
      <c r="AA83" s="163"/>
      <c r="AB83" s="163"/>
      <c r="AC83" s="163"/>
      <c r="AD83" s="163"/>
      <c r="AE83" s="70"/>
      <c r="AF83" s="70"/>
      <c r="AG83" s="70"/>
      <c r="AH83" s="70"/>
      <c r="AI83" s="70"/>
      <c r="AJ83" s="70"/>
      <c r="AK83" s="70"/>
      <c r="AL83" s="156"/>
      <c r="AM83" s="156"/>
      <c r="AN83" s="156"/>
      <c r="AO83" s="156"/>
      <c r="AP83" s="156"/>
      <c r="AQ83" s="156"/>
      <c r="AR83" s="156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64">
        <v>0.81</v>
      </c>
      <c r="CM83" s="64">
        <f>1-輸入!$E$2-CL83</f>
        <v>0.1399999999999999</v>
      </c>
      <c r="CN83" s="65">
        <f>IF(OR(CL83&lt;0,CM83&lt;0,CL83&gt;1-輸入!$E$2),"",IF(1-輸入!$E$2=0,0,SUMPRODUCT($L$2:$L$13*CL83/$S$2:$S$13)*輸入!$E$5+SUMPRODUCT($M$2:$M$13*CL83/(1-輸入!$E$2)/$T$2:$T$13)*輸入!$E$6+SUMPRODUCT((($L$2:$L$13*CM83)+($M$2:$M$13*CM83/(1-輸入!$E$2)))/輸入!$S$5)*輸入!$E$8))</f>
        <v>2350496.0683223456</v>
      </c>
      <c r="CO83" s="57"/>
      <c r="CP83" s="57"/>
      <c r="CX83" s="39">
        <f t="shared" si="26"/>
        <v>0.8100000000000005</v>
      </c>
      <c r="CY83" s="39">
        <f>1-輸入!$E$2-CX83</f>
        <v>0.13999999999999946</v>
      </c>
      <c r="CZ83" s="40">
        <f>IF(OR(CX83&lt;0,CY83&lt;0,CX83&gt;1-輸入!$E$2),"",IF(1-輸入!$E$2=0,0,SUMPRODUCT($L$2:$L$13*CX83/$BB$2:$BB$13)*輸入!$E$5+SUMPRODUCT($M$2:$M$13*CX83/(1-輸入!$E$2)/$BC$2:$BC$13)*輸入!$E$6+SUMPRODUCT((($L$2:$L$13*CY83)+($M$2:$M$13*CY83/(1-輸入!$E$2)))/輸入!$S$6)*輸入!$E$8))</f>
        <v>2259596.8132398664</v>
      </c>
    </row>
    <row r="84" spans="1:104" s="2" customFormat="1" ht="15" customHeight="1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163"/>
      <c r="AA84" s="163"/>
      <c r="AB84" s="163"/>
      <c r="AC84" s="163"/>
      <c r="AD84" s="163"/>
      <c r="AE84" s="70"/>
      <c r="AF84" s="70"/>
      <c r="AG84" s="70"/>
      <c r="AH84" s="70"/>
      <c r="AI84" s="70"/>
      <c r="AJ84" s="70"/>
      <c r="AK84" s="70"/>
      <c r="AL84" s="156"/>
      <c r="AM84" s="156"/>
      <c r="AN84" s="156"/>
      <c r="AO84" s="156"/>
      <c r="AP84" s="156"/>
      <c r="AQ84" s="156"/>
      <c r="AR84" s="156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64">
        <v>0.82</v>
      </c>
      <c r="CM84" s="64">
        <f>1-輸入!$E$2-CL84</f>
        <v>0.13</v>
      </c>
      <c r="CN84" s="65">
        <f>IF(OR(CL84&lt;0,CM84&lt;0,CL84&gt;1-輸入!$E$2),"",IF(1-輸入!$E$2=0,0,SUMPRODUCT($L$2:$L$13*CL84/$S$2:$S$13)*輸入!$E$5+SUMPRODUCT($M$2:$M$13*CL84/(1-輸入!$E$2)/$T$2:$T$13)*輸入!$E$6+SUMPRODUCT((($L$2:$L$13*CM84)+($M$2:$M$13*CM84/(1-輸入!$E$2)))/輸入!$S$5)*輸入!$E$8))</f>
        <v>2335727.9999840399</v>
      </c>
      <c r="CO84" s="57"/>
      <c r="CP84" s="57"/>
      <c r="CX84" s="39">
        <f t="shared" si="26"/>
        <v>0.82000000000000051</v>
      </c>
      <c r="CY84" s="39">
        <f>1-輸入!$E$2-CX84</f>
        <v>0.12999999999999945</v>
      </c>
      <c r="CZ84" s="40">
        <f>IF(OR(CX84&lt;0,CY84&lt;0,CX84&gt;1-輸入!$E$2),"",IF(1-輸入!$E$2=0,0,SUMPRODUCT($L$2:$L$13*CX84/$BB$2:$BB$13)*輸入!$E$5+SUMPRODUCT($M$2:$M$13*CX84/(1-輸入!$E$2)/$BC$2:$BC$13)*輸入!$E$6+SUMPRODUCT((($L$2:$L$13*CY84)+($M$2:$M$13*CY84/(1-輸入!$E$2)))/輸入!$S$6)*輸入!$E$8))</f>
        <v>2242711.383277724</v>
      </c>
    </row>
    <row r="85" spans="1:104" s="2" customFormat="1" ht="15" customHeight="1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163"/>
      <c r="AA85" s="163"/>
      <c r="AB85" s="163"/>
      <c r="AC85" s="163"/>
      <c r="AD85" s="163"/>
      <c r="AE85" s="70"/>
      <c r="AF85" s="70"/>
      <c r="AG85" s="70"/>
      <c r="AH85" s="70"/>
      <c r="AI85" s="70"/>
      <c r="AJ85" s="70"/>
      <c r="AK85" s="70"/>
      <c r="AL85" s="156"/>
      <c r="AM85" s="156"/>
      <c r="AN85" s="156"/>
      <c r="AO85" s="156"/>
      <c r="AP85" s="156"/>
      <c r="AQ85" s="156"/>
      <c r="AR85" s="156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64">
        <v>0.83</v>
      </c>
      <c r="CM85" s="64">
        <f>1-輸入!$E$2-CL85</f>
        <v>0.12</v>
      </c>
      <c r="CN85" s="65">
        <f>IF(OR(CL85&lt;0,CM85&lt;0,CL85&gt;1-輸入!$E$2),"",IF(1-輸入!$E$2=0,0,SUMPRODUCT($L$2:$L$13*CL85/$S$2:$S$13)*輸入!$E$5+SUMPRODUCT($M$2:$M$13*CL85/(1-輸入!$E$2)/$T$2:$T$13)*輸入!$E$6+SUMPRODUCT((($L$2:$L$13*CM85)+($M$2:$M$13*CM85/(1-輸入!$E$2)))/輸入!$S$5)*輸入!$E$8))</f>
        <v>2320959.9316457338</v>
      </c>
      <c r="CO85" s="57"/>
      <c r="CP85" s="57"/>
      <c r="CX85" s="39">
        <f t="shared" si="26"/>
        <v>0.83000000000000052</v>
      </c>
      <c r="CY85" s="39">
        <f>1-輸入!$E$2-CX85</f>
        <v>0.11999999999999944</v>
      </c>
      <c r="CZ85" s="40">
        <f>IF(OR(CX85&lt;0,CY85&lt;0,CX85&gt;1-輸入!$E$2),"",IF(1-輸入!$E$2=0,0,SUMPRODUCT($L$2:$L$13*CX85/$BB$2:$BB$13)*輸入!$E$5+SUMPRODUCT($M$2:$M$13*CX85/(1-輸入!$E$2)/$BC$2:$BC$13)*輸入!$E$6+SUMPRODUCT((($L$2:$L$13*CY85)+($M$2:$M$13*CY85/(1-輸入!$E$2)))/輸入!$S$6)*輸入!$E$8))</f>
        <v>2225825.9533155812</v>
      </c>
    </row>
    <row r="86" spans="1:104" s="2" customFormat="1" ht="15" customHeight="1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163"/>
      <c r="AA86" s="163"/>
      <c r="AB86" s="163"/>
      <c r="AC86" s="163"/>
      <c r="AD86" s="163"/>
      <c r="AE86" s="70"/>
      <c r="AF86" s="70"/>
      <c r="AG86" s="70"/>
      <c r="AH86" s="70"/>
      <c r="AI86" s="70"/>
      <c r="AJ86" s="70"/>
      <c r="AK86" s="70"/>
      <c r="AL86" s="156"/>
      <c r="AM86" s="156"/>
      <c r="AN86" s="156"/>
      <c r="AO86" s="156"/>
      <c r="AP86" s="156"/>
      <c r="AQ86" s="156"/>
      <c r="AR86" s="156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64">
        <v>0.84</v>
      </c>
      <c r="CM86" s="64">
        <f>1-輸入!$E$2-CL86</f>
        <v>0.10999999999999999</v>
      </c>
      <c r="CN86" s="65">
        <f>IF(OR(CL86&lt;0,CM86&lt;0,CL86&gt;1-輸入!$E$2),"",IF(1-輸入!$E$2=0,0,SUMPRODUCT($L$2:$L$13*CL86/$S$2:$S$13)*輸入!$E$5+SUMPRODUCT($M$2:$M$13*CL86/(1-輸入!$E$2)/$T$2:$T$13)*輸入!$E$6+SUMPRODUCT((($L$2:$L$13*CM86)+($M$2:$M$13*CM86/(1-輸入!$E$2)))/輸入!$S$5)*輸入!$E$8))</f>
        <v>2306191.8633074281</v>
      </c>
      <c r="CO86" s="57"/>
      <c r="CP86" s="57"/>
      <c r="CX86" s="39">
        <f t="shared" si="26"/>
        <v>0.84000000000000052</v>
      </c>
      <c r="CY86" s="39">
        <f>1-輸入!$E$2-CX86</f>
        <v>0.10999999999999943</v>
      </c>
      <c r="CZ86" s="40">
        <f>IF(OR(CX86&lt;0,CY86&lt;0,CX86&gt;1-輸入!$E$2),"",IF(1-輸入!$E$2=0,0,SUMPRODUCT($L$2:$L$13*CX86/$BB$2:$BB$13)*輸入!$E$5+SUMPRODUCT($M$2:$M$13*CX86/(1-輸入!$E$2)/$BC$2:$BC$13)*輸入!$E$6+SUMPRODUCT((($L$2:$L$13*CY86)+($M$2:$M$13*CY86/(1-輸入!$E$2)))/輸入!$S$6)*輸入!$E$8))</f>
        <v>2208940.5233534384</v>
      </c>
    </row>
    <row r="87" spans="1:104" s="2" customFormat="1" ht="15" customHeight="1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163"/>
      <c r="AA87" s="163"/>
      <c r="AB87" s="163"/>
      <c r="AC87" s="163"/>
      <c r="AD87" s="163"/>
      <c r="AE87" s="70"/>
      <c r="AF87" s="70"/>
      <c r="AG87" s="70"/>
      <c r="AH87" s="70"/>
      <c r="AI87" s="70"/>
      <c r="AJ87" s="70"/>
      <c r="AK87" s="70"/>
      <c r="AL87" s="156"/>
      <c r="AM87" s="156"/>
      <c r="AN87" s="156"/>
      <c r="AO87" s="156"/>
      <c r="AP87" s="156"/>
      <c r="AQ87" s="156"/>
      <c r="AR87" s="156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64">
        <v>0.85</v>
      </c>
      <c r="CM87" s="64">
        <f>1-輸入!$E$2-CL87</f>
        <v>9.9999999999999978E-2</v>
      </c>
      <c r="CN87" s="65">
        <f>IF(OR(CL87&lt;0,CM87&lt;0,CL87&gt;1-輸入!$E$2),"",IF(1-輸入!$E$2=0,0,SUMPRODUCT($L$2:$L$13*CL87/$S$2:$S$13)*輸入!$E$5+SUMPRODUCT($M$2:$M$13*CL87/(1-輸入!$E$2)/$T$2:$T$13)*輸入!$E$6+SUMPRODUCT((($L$2:$L$13*CM87)+($M$2:$M$13*CM87/(1-輸入!$E$2)))/輸入!$S$5)*輸入!$E$8))</f>
        <v>2291423.7949691219</v>
      </c>
      <c r="CO87" s="57"/>
      <c r="CP87" s="57"/>
      <c r="CX87" s="39">
        <f t="shared" si="26"/>
        <v>0.85000000000000053</v>
      </c>
      <c r="CY87" s="39">
        <f>1-輸入!$E$2-CX87</f>
        <v>9.9999999999999423E-2</v>
      </c>
      <c r="CZ87" s="40">
        <f>IF(OR(CX87&lt;0,CY87&lt;0,CX87&gt;1-輸入!$E$2),"",IF(1-輸入!$E$2=0,0,SUMPRODUCT($L$2:$L$13*CX87/$BB$2:$BB$13)*輸入!$E$5+SUMPRODUCT($M$2:$M$13*CX87/(1-輸入!$E$2)/$BC$2:$BC$13)*輸入!$E$6+SUMPRODUCT((($L$2:$L$13*CY87)+($M$2:$M$13*CY87/(1-輸入!$E$2)))/輸入!$S$6)*輸入!$E$8))</f>
        <v>2192055.0933912955</v>
      </c>
    </row>
    <row r="88" spans="1:104" s="2" customFormat="1" ht="15" customHeight="1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163"/>
      <c r="AA88" s="163"/>
      <c r="AB88" s="163"/>
      <c r="AC88" s="163"/>
      <c r="AD88" s="163"/>
      <c r="AE88" s="70"/>
      <c r="AF88" s="70"/>
      <c r="AG88" s="70"/>
      <c r="AH88" s="70"/>
      <c r="AI88" s="70"/>
      <c r="AJ88" s="70"/>
      <c r="AK88" s="70"/>
      <c r="AL88" s="156"/>
      <c r="AM88" s="156"/>
      <c r="AN88" s="156"/>
      <c r="AO88" s="156"/>
      <c r="AP88" s="156"/>
      <c r="AQ88" s="156"/>
      <c r="AR88" s="156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57"/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64">
        <v>0.86</v>
      </c>
      <c r="CM88" s="64">
        <f>1-輸入!$E$2-CL88</f>
        <v>8.9999999999999969E-2</v>
      </c>
      <c r="CN88" s="65">
        <f>IF(OR(CL88&lt;0,CM88&lt;0,CL88&gt;1-輸入!$E$2),"",IF(1-輸入!$E$2=0,0,SUMPRODUCT($L$2:$L$13*CL88/$S$2:$S$13)*輸入!$E$5+SUMPRODUCT($M$2:$M$13*CL88/(1-輸入!$E$2)/$T$2:$T$13)*輸入!$E$6+SUMPRODUCT((($L$2:$L$13*CM88)+($M$2:$M$13*CM88/(1-輸入!$E$2)))/輸入!$S$5)*輸入!$E$8))</f>
        <v>2276655.7266308162</v>
      </c>
      <c r="CO88" s="57"/>
      <c r="CP88" s="57"/>
      <c r="CX88" s="39">
        <f t="shared" si="26"/>
        <v>0.86000000000000054</v>
      </c>
      <c r="CY88" s="39">
        <f>1-輸入!$E$2-CX88</f>
        <v>8.9999999999999414E-2</v>
      </c>
      <c r="CZ88" s="40">
        <f>IF(OR(CX88&lt;0,CY88&lt;0,CX88&gt;1-輸入!$E$2),"",IF(1-輸入!$E$2=0,0,SUMPRODUCT($L$2:$L$13*CX88/$BB$2:$BB$13)*輸入!$E$5+SUMPRODUCT($M$2:$M$13*CX88/(1-輸入!$E$2)/$BC$2:$BC$13)*輸入!$E$6+SUMPRODUCT((($L$2:$L$13*CY88)+($M$2:$M$13*CY88/(1-輸入!$E$2)))/輸入!$S$6)*輸入!$E$8))</f>
        <v>2175169.6634291532</v>
      </c>
    </row>
    <row r="89" spans="1:104" s="2" customFormat="1" ht="15" customHeight="1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163"/>
      <c r="AA89" s="163"/>
      <c r="AB89" s="163"/>
      <c r="AC89" s="163"/>
      <c r="AD89" s="163"/>
      <c r="AE89" s="70"/>
      <c r="AF89" s="70"/>
      <c r="AG89" s="70"/>
      <c r="AH89" s="70"/>
      <c r="AI89" s="70"/>
      <c r="AJ89" s="70"/>
      <c r="AK89" s="70"/>
      <c r="AL89" s="156"/>
      <c r="AM89" s="156"/>
      <c r="AN89" s="156"/>
      <c r="AO89" s="156"/>
      <c r="AP89" s="156"/>
      <c r="AQ89" s="156"/>
      <c r="AR89" s="156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64">
        <v>0.87</v>
      </c>
      <c r="CM89" s="64">
        <f>1-輸入!$E$2-CL89</f>
        <v>7.999999999999996E-2</v>
      </c>
      <c r="CN89" s="65">
        <f>IF(OR(CL89&lt;0,CM89&lt;0,CL89&gt;1-輸入!$E$2),"",IF(1-輸入!$E$2=0,0,SUMPRODUCT($L$2:$L$13*CL89/$S$2:$S$13)*輸入!$E$5+SUMPRODUCT($M$2:$M$13*CL89/(1-輸入!$E$2)/$T$2:$T$13)*輸入!$E$6+SUMPRODUCT((($L$2:$L$13*CM89)+($M$2:$M$13*CM89/(1-輸入!$E$2)))/輸入!$S$5)*輸入!$E$8))</f>
        <v>2261887.6582925096</v>
      </c>
      <c r="CO89" s="57"/>
      <c r="CP89" s="57"/>
      <c r="CX89" s="39">
        <f t="shared" si="26"/>
        <v>0.87000000000000055</v>
      </c>
      <c r="CY89" s="39">
        <f>1-輸入!$E$2-CX89</f>
        <v>7.9999999999999405E-2</v>
      </c>
      <c r="CZ89" s="40">
        <f>IF(OR(CX89&lt;0,CY89&lt;0,CX89&gt;1-輸入!$E$2),"",IF(1-輸入!$E$2=0,0,SUMPRODUCT($L$2:$L$13*CX89/$BB$2:$BB$13)*輸入!$E$5+SUMPRODUCT($M$2:$M$13*CX89/(1-輸入!$E$2)/$BC$2:$BC$13)*輸入!$E$6+SUMPRODUCT((($L$2:$L$13*CY89)+($M$2:$M$13*CY89/(1-輸入!$E$2)))/輸入!$S$6)*輸入!$E$8))</f>
        <v>2158284.2334670103</v>
      </c>
    </row>
    <row r="90" spans="1:104" s="2" customFormat="1" ht="15" customHeight="1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163"/>
      <c r="AA90" s="163"/>
      <c r="AB90" s="163"/>
      <c r="AC90" s="163"/>
      <c r="AD90" s="163"/>
      <c r="AE90" s="70"/>
      <c r="AF90" s="70"/>
      <c r="AG90" s="70"/>
      <c r="AH90" s="70"/>
      <c r="AI90" s="70"/>
      <c r="AJ90" s="70"/>
      <c r="AK90" s="70"/>
      <c r="AL90" s="156"/>
      <c r="AM90" s="156"/>
      <c r="AN90" s="156"/>
      <c r="AO90" s="156"/>
      <c r="AP90" s="156"/>
      <c r="AQ90" s="156"/>
      <c r="AR90" s="156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64">
        <v>0.88</v>
      </c>
      <c r="CM90" s="64">
        <f>1-輸入!$E$2-CL90</f>
        <v>6.9999999999999951E-2</v>
      </c>
      <c r="CN90" s="65">
        <f>IF(OR(CL90&lt;0,CM90&lt;0,CL90&gt;1-輸入!$E$2),"",IF(1-輸入!$E$2=0,0,SUMPRODUCT($L$2:$L$13*CL90/$S$2:$S$13)*輸入!$E$5+SUMPRODUCT($M$2:$M$13*CL90/(1-輸入!$E$2)/$T$2:$T$13)*輸入!$E$6+SUMPRODUCT((($L$2:$L$13*CM90)+($M$2:$M$13*CM90/(1-輸入!$E$2)))/輸入!$S$5)*輸入!$E$8))</f>
        <v>2247119.5899542039</v>
      </c>
      <c r="CO90" s="57"/>
      <c r="CP90" s="57"/>
      <c r="CX90" s="39">
        <f t="shared" si="26"/>
        <v>0.88000000000000056</v>
      </c>
      <c r="CY90" s="39">
        <f>1-輸入!$E$2-CX90</f>
        <v>6.9999999999999396E-2</v>
      </c>
      <c r="CZ90" s="40">
        <f>IF(OR(CX90&lt;0,CY90&lt;0,CX90&gt;1-輸入!$E$2),"",IF(1-輸入!$E$2=0,0,SUMPRODUCT($L$2:$L$13*CX90/$BB$2:$BB$13)*輸入!$E$5+SUMPRODUCT($M$2:$M$13*CX90/(1-輸入!$E$2)/$BC$2:$BC$13)*輸入!$E$6+SUMPRODUCT((($L$2:$L$13*CY90)+($M$2:$M$13*CY90/(1-輸入!$E$2)))/輸入!$S$6)*輸入!$E$8))</f>
        <v>2141398.8035048675</v>
      </c>
    </row>
    <row r="91" spans="1:104" s="2" customFormat="1" ht="15" customHeight="1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163"/>
      <c r="AA91" s="163"/>
      <c r="AB91" s="163"/>
      <c r="AC91" s="163"/>
      <c r="AD91" s="163"/>
      <c r="AE91" s="70"/>
      <c r="AF91" s="70"/>
      <c r="AG91" s="70"/>
      <c r="AH91" s="70"/>
      <c r="AI91" s="70"/>
      <c r="AJ91" s="70"/>
      <c r="AK91" s="70"/>
      <c r="AL91" s="156"/>
      <c r="AM91" s="156"/>
      <c r="AN91" s="156"/>
      <c r="AO91" s="156"/>
      <c r="AP91" s="156"/>
      <c r="AQ91" s="156"/>
      <c r="AR91" s="156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64">
        <v>0.89</v>
      </c>
      <c r="CM91" s="64">
        <f>1-輸入!$E$2-CL91</f>
        <v>5.9999999999999942E-2</v>
      </c>
      <c r="CN91" s="65">
        <f>IF(OR(CL91&lt;0,CM91&lt;0,CL91&gt;1-輸入!$E$2),"",IF(1-輸入!$E$2=0,0,SUMPRODUCT($L$2:$L$13*CL91/$S$2:$S$13)*輸入!$E$5+SUMPRODUCT($M$2:$M$13*CL91/(1-輸入!$E$2)/$T$2:$T$13)*輸入!$E$6+SUMPRODUCT((($L$2:$L$13*CM91)+($M$2:$M$13*CM91/(1-輸入!$E$2)))/輸入!$S$5)*輸入!$E$8))</f>
        <v>2232351.5216158978</v>
      </c>
      <c r="CO91" s="57"/>
      <c r="CP91" s="57"/>
      <c r="CX91" s="39">
        <f t="shared" si="26"/>
        <v>0.89000000000000057</v>
      </c>
      <c r="CY91" s="39">
        <f>1-輸入!$E$2-CX91</f>
        <v>5.9999999999999387E-2</v>
      </c>
      <c r="CZ91" s="40">
        <f>IF(OR(CX91&lt;0,CY91&lt;0,CX91&gt;1-輸入!$E$2),"",IF(1-輸入!$E$2=0,0,SUMPRODUCT($L$2:$L$13*CX91/$BB$2:$BB$13)*輸入!$E$5+SUMPRODUCT($M$2:$M$13*CX91/(1-輸入!$E$2)/$BC$2:$BC$13)*輸入!$E$6+SUMPRODUCT((($L$2:$L$13*CY91)+($M$2:$M$13*CY91/(1-輸入!$E$2)))/輸入!$S$6)*輸入!$E$8))</f>
        <v>2124513.3735427246</v>
      </c>
    </row>
    <row r="92" spans="1:104" s="2" customFormat="1" ht="15" customHeight="1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163"/>
      <c r="AA92" s="163"/>
      <c r="AB92" s="163"/>
      <c r="AC92" s="163"/>
      <c r="AD92" s="163"/>
      <c r="AE92" s="70"/>
      <c r="AF92" s="70"/>
      <c r="AG92" s="70"/>
      <c r="AH92" s="70"/>
      <c r="AI92" s="70"/>
      <c r="AJ92" s="70"/>
      <c r="AK92" s="70"/>
      <c r="AL92" s="156"/>
      <c r="AM92" s="156"/>
      <c r="AN92" s="156"/>
      <c r="AO92" s="156"/>
      <c r="AP92" s="156"/>
      <c r="AQ92" s="156"/>
      <c r="AR92" s="156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64">
        <v>0.9</v>
      </c>
      <c r="CM92" s="64">
        <f>1-輸入!$E$2-CL92</f>
        <v>4.9999999999999933E-2</v>
      </c>
      <c r="CN92" s="65">
        <f>IF(OR(CL92&lt;0,CM92&lt;0,CL92&gt;1-輸入!$E$2),"",IF(1-輸入!$E$2=0,0,SUMPRODUCT($L$2:$L$13*CL92/$S$2:$S$13)*輸入!$E$5+SUMPRODUCT($M$2:$M$13*CL92/(1-輸入!$E$2)/$T$2:$T$13)*輸入!$E$6+SUMPRODUCT((($L$2:$L$13*CM92)+($M$2:$M$13*CM92/(1-輸入!$E$2)))/輸入!$S$5)*輸入!$E$8))</f>
        <v>2217583.4532775916</v>
      </c>
      <c r="CO92" s="57"/>
      <c r="CP92" s="57"/>
      <c r="CX92" s="39">
        <f t="shared" si="26"/>
        <v>0.90000000000000058</v>
      </c>
      <c r="CY92" s="39">
        <f>1-輸入!$E$2-CX92</f>
        <v>4.9999999999999378E-2</v>
      </c>
      <c r="CZ92" s="40">
        <f>IF(OR(CX92&lt;0,CY92&lt;0,CX92&gt;1-輸入!$E$2),"",IF(1-輸入!$E$2=0,0,SUMPRODUCT($L$2:$L$13*CX92/$BB$2:$BB$13)*輸入!$E$5+SUMPRODUCT($M$2:$M$13*CX92/(1-輸入!$E$2)/$BC$2:$BC$13)*輸入!$E$6+SUMPRODUCT((($L$2:$L$13*CY92)+($M$2:$M$13*CY92/(1-輸入!$E$2)))/輸入!$S$6)*輸入!$E$8))</f>
        <v>2107627.9435805818</v>
      </c>
    </row>
    <row r="93" spans="1:104" s="2" customFormat="1" ht="15" customHeight="1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163"/>
      <c r="AA93" s="163"/>
      <c r="AB93" s="163"/>
      <c r="AC93" s="163"/>
      <c r="AD93" s="163"/>
      <c r="AE93" s="70"/>
      <c r="AF93" s="70"/>
      <c r="AG93" s="70"/>
      <c r="AH93" s="70"/>
      <c r="AI93" s="70"/>
      <c r="AJ93" s="70"/>
      <c r="AK93" s="70"/>
      <c r="AL93" s="156"/>
      <c r="AM93" s="156"/>
      <c r="AN93" s="156"/>
      <c r="AO93" s="156"/>
      <c r="AP93" s="156"/>
      <c r="AQ93" s="156"/>
      <c r="AR93" s="156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64">
        <v>0.91</v>
      </c>
      <c r="CM93" s="64">
        <f>1-輸入!$E$2-CL93</f>
        <v>3.9999999999999925E-2</v>
      </c>
      <c r="CN93" s="65">
        <f>IF(OR(CL93&lt;0,CM93&lt;0,CL93&gt;1-輸入!$E$2),"",IF(1-輸入!$E$2=0,0,SUMPRODUCT($L$2:$L$13*CL93/$S$2:$S$13)*輸入!$E$5+SUMPRODUCT($M$2:$M$13*CL93/(1-輸入!$E$2)/$T$2:$T$13)*輸入!$E$6+SUMPRODUCT((($L$2:$L$13*CM93)+($M$2:$M$13*CM93/(1-輸入!$E$2)))/輸入!$S$5)*輸入!$E$8))</f>
        <v>2202815.3849392859</v>
      </c>
      <c r="CO93" s="57"/>
      <c r="CP93" s="57"/>
      <c r="CX93" s="39">
        <f t="shared" si="26"/>
        <v>0.91000000000000059</v>
      </c>
      <c r="CY93" s="39">
        <f>1-輸入!$E$2-CX93</f>
        <v>3.9999999999999369E-2</v>
      </c>
      <c r="CZ93" s="40">
        <f>IF(OR(CX93&lt;0,CY93&lt;0,CX93&gt;1-輸入!$E$2),"",IF(1-輸入!$E$2=0,0,SUMPRODUCT($L$2:$L$13*CX93/$BB$2:$BB$13)*輸入!$E$5+SUMPRODUCT($M$2:$M$13*CX93/(1-輸入!$E$2)/$BC$2:$BC$13)*輸入!$E$6+SUMPRODUCT((($L$2:$L$13*CY93)+($M$2:$M$13*CY93/(1-輸入!$E$2)))/輸入!$S$6)*輸入!$E$8))</f>
        <v>2090742.5136184394</v>
      </c>
    </row>
    <row r="94" spans="1:104" s="2" customFormat="1" ht="15" customHeight="1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163"/>
      <c r="AA94" s="163"/>
      <c r="AB94" s="163"/>
      <c r="AC94" s="163"/>
      <c r="AD94" s="163"/>
      <c r="AE94" s="70"/>
      <c r="AF94" s="70"/>
      <c r="AG94" s="70"/>
      <c r="AH94" s="70"/>
      <c r="AI94" s="70"/>
      <c r="AJ94" s="70"/>
      <c r="AK94" s="70"/>
      <c r="AL94" s="156"/>
      <c r="AM94" s="156"/>
      <c r="AN94" s="156"/>
      <c r="AO94" s="156"/>
      <c r="AP94" s="156"/>
      <c r="AQ94" s="156"/>
      <c r="AR94" s="156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57"/>
      <c r="BX94" s="57"/>
      <c r="BY94" s="57"/>
      <c r="BZ94" s="57"/>
      <c r="CA94" s="57"/>
      <c r="CB94" s="57"/>
      <c r="CC94" s="57"/>
      <c r="CD94" s="57"/>
      <c r="CE94" s="57"/>
      <c r="CF94" s="57"/>
      <c r="CG94" s="57"/>
      <c r="CH94" s="57"/>
      <c r="CI94" s="57"/>
      <c r="CJ94" s="57"/>
      <c r="CK94" s="57"/>
      <c r="CL94" s="64">
        <v>0.92</v>
      </c>
      <c r="CM94" s="64">
        <f>1-輸入!$E$2-CL94</f>
        <v>2.9999999999999916E-2</v>
      </c>
      <c r="CN94" s="65">
        <f>IF(OR(CL94&lt;0,CM94&lt;0,CL94&gt;1-輸入!$E$2),"",IF(1-輸入!$E$2=0,0,SUMPRODUCT($L$2:$L$13*CL94/$S$2:$S$13)*輸入!$E$5+SUMPRODUCT($M$2:$M$13*CL94/(1-輸入!$E$2)/$T$2:$T$13)*輸入!$E$6+SUMPRODUCT((($L$2:$L$13*CM94)+($M$2:$M$13*CM94/(1-輸入!$E$2)))/輸入!$S$5)*輸入!$E$8))</f>
        <v>2188047.3166009802</v>
      </c>
      <c r="CO94" s="57"/>
      <c r="CP94" s="57"/>
      <c r="CX94" s="39">
        <f t="shared" si="26"/>
        <v>0.9200000000000006</v>
      </c>
      <c r="CY94" s="39">
        <f>1-輸入!$E$2-CX94</f>
        <v>2.9999999999999361E-2</v>
      </c>
      <c r="CZ94" s="40">
        <f>IF(OR(CX94&lt;0,CY94&lt;0,CX94&gt;1-輸入!$E$2),"",IF(1-輸入!$E$2=0,0,SUMPRODUCT($L$2:$L$13*CX94/$BB$2:$BB$13)*輸入!$E$5+SUMPRODUCT($M$2:$M$13*CX94/(1-輸入!$E$2)/$BC$2:$BC$13)*輸入!$E$6+SUMPRODUCT((($L$2:$L$13*CY94)+($M$2:$M$13*CY94/(1-輸入!$E$2)))/輸入!$S$6)*輸入!$E$8))</f>
        <v>2073857.0836562968</v>
      </c>
    </row>
    <row r="95" spans="1:104" s="2" customFormat="1" ht="15" customHeight="1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163"/>
      <c r="AA95" s="163"/>
      <c r="AB95" s="163"/>
      <c r="AC95" s="163"/>
      <c r="AD95" s="163"/>
      <c r="AE95" s="70"/>
      <c r="AF95" s="70"/>
      <c r="AG95" s="70"/>
      <c r="AH95" s="70"/>
      <c r="AI95" s="70"/>
      <c r="AJ95" s="70"/>
      <c r="AK95" s="70"/>
      <c r="AL95" s="156"/>
      <c r="AM95" s="156"/>
      <c r="AN95" s="156"/>
      <c r="AO95" s="156"/>
      <c r="AP95" s="156"/>
      <c r="AQ95" s="156"/>
      <c r="AR95" s="156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57"/>
      <c r="BX95" s="57"/>
      <c r="BY95" s="57"/>
      <c r="BZ95" s="57"/>
      <c r="CA95" s="57"/>
      <c r="CB95" s="57"/>
      <c r="CC95" s="57"/>
      <c r="CD95" s="57"/>
      <c r="CE95" s="57"/>
      <c r="CF95" s="57"/>
      <c r="CG95" s="57"/>
      <c r="CH95" s="57"/>
      <c r="CI95" s="57"/>
      <c r="CJ95" s="57"/>
      <c r="CK95" s="57"/>
      <c r="CL95" s="64">
        <v>0.93</v>
      </c>
      <c r="CM95" s="64">
        <f>1-輸入!$E$2-CL95</f>
        <v>1.9999999999999907E-2</v>
      </c>
      <c r="CN95" s="65">
        <f>IF(OR(CL95&lt;0,CM95&lt;0,CL95&gt;1-輸入!$E$2),"",IF(1-輸入!$E$2=0,0,SUMPRODUCT($L$2:$L$13*CL95/$S$2:$S$13)*輸入!$E$5+SUMPRODUCT($M$2:$M$13*CL95/(1-輸入!$E$2)/$T$2:$T$13)*輸入!$E$6+SUMPRODUCT((($L$2:$L$13*CM95)+($M$2:$M$13*CM95/(1-輸入!$E$2)))/輸入!$S$5)*輸入!$E$8))</f>
        <v>2173279.2482626741</v>
      </c>
      <c r="CO95" s="57"/>
      <c r="CP95" s="57"/>
      <c r="CX95" s="39">
        <f t="shared" si="26"/>
        <v>0.9300000000000006</v>
      </c>
      <c r="CY95" s="39">
        <f>1-輸入!$E$2-CX95</f>
        <v>1.9999999999999352E-2</v>
      </c>
      <c r="CZ95" s="40">
        <f>IF(OR(CX95&lt;0,CY95&lt;0,CX95&gt;1-輸入!$E$2),"",IF(1-輸入!$E$2=0,0,SUMPRODUCT($L$2:$L$13*CX95/$BB$2:$BB$13)*輸入!$E$5+SUMPRODUCT($M$2:$M$13*CX95/(1-輸入!$E$2)/$BC$2:$BC$13)*輸入!$E$6+SUMPRODUCT((($L$2:$L$13*CY95)+($M$2:$M$13*CY95/(1-輸入!$E$2)))/輸入!$S$6)*輸入!$E$8))</f>
        <v>2056971.6536941542</v>
      </c>
    </row>
    <row r="96" spans="1:104" s="2" customFormat="1" ht="15" customHeight="1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163"/>
      <c r="AA96" s="163"/>
      <c r="AB96" s="163"/>
      <c r="AC96" s="163"/>
      <c r="AD96" s="163"/>
      <c r="AE96" s="70"/>
      <c r="AF96" s="70"/>
      <c r="AG96" s="70"/>
      <c r="AH96" s="70"/>
      <c r="AI96" s="70"/>
      <c r="AJ96" s="70"/>
      <c r="AK96" s="70"/>
      <c r="AL96" s="156"/>
      <c r="AM96" s="156"/>
      <c r="AN96" s="156"/>
      <c r="AO96" s="156"/>
      <c r="AP96" s="156"/>
      <c r="AQ96" s="156"/>
      <c r="AR96" s="156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64">
        <v>0.94</v>
      </c>
      <c r="CM96" s="64">
        <f>1-輸入!$E$2-CL96</f>
        <v>1.0000000000000009E-2</v>
      </c>
      <c r="CN96" s="65">
        <f>IF(OR(CL96&lt;0,CM96&lt;0,CL96&gt;1-輸入!$E$2),"",IF(1-輸入!$E$2=0,0,SUMPRODUCT($L$2:$L$13*CL96/$S$2:$S$13)*輸入!$E$5+SUMPRODUCT($M$2:$M$13*CL96/(1-輸入!$E$2)/$T$2:$T$13)*輸入!$E$6+SUMPRODUCT((($L$2:$L$13*CM96)+($M$2:$M$13*CM96/(1-輸入!$E$2)))/輸入!$S$5)*輸入!$E$8))</f>
        <v>2158511.1799243689</v>
      </c>
      <c r="CO96" s="57"/>
      <c r="CP96" s="57"/>
      <c r="CX96" s="39">
        <f t="shared" si="26"/>
        <v>0.94000000000000061</v>
      </c>
      <c r="CY96" s="39">
        <f>1-輸入!$E$2-CX96</f>
        <v>9.9999999999993427E-3</v>
      </c>
      <c r="CZ96" s="40">
        <f>IF(OR(CX96&lt;0,CY96&lt;0,CX96&gt;1-輸入!$E$2),"",IF(1-輸入!$E$2=0,0,SUMPRODUCT($L$2:$L$13*CX96/$BB$2:$BB$13)*輸入!$E$5+SUMPRODUCT($M$2:$M$13*CX96/(1-輸入!$E$2)/$BC$2:$BC$13)*輸入!$E$6+SUMPRODUCT((($L$2:$L$13*CY96)+($M$2:$M$13*CY96/(1-輸入!$E$2)))/輸入!$S$6)*輸入!$E$8))</f>
        <v>2040086.2237320112</v>
      </c>
    </row>
    <row r="97" spans="1:104" s="2" customFormat="1" ht="15" customHeight="1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163"/>
      <c r="AA97" s="163"/>
      <c r="AB97" s="163"/>
      <c r="AC97" s="163"/>
      <c r="AD97" s="163"/>
      <c r="AE97" s="70"/>
      <c r="AF97" s="70"/>
      <c r="AG97" s="70"/>
      <c r="AH97" s="70"/>
      <c r="AI97" s="70"/>
      <c r="AJ97" s="70"/>
      <c r="AK97" s="70"/>
      <c r="AL97" s="156"/>
      <c r="AM97" s="156"/>
      <c r="AN97" s="156"/>
      <c r="AO97" s="156"/>
      <c r="AP97" s="156"/>
      <c r="AQ97" s="156"/>
      <c r="AR97" s="156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64">
        <v>0.95</v>
      </c>
      <c r="CM97" s="64">
        <f>1-輸入!$E$2-CL97</f>
        <v>0</v>
      </c>
      <c r="CN97" s="65">
        <f>IF(OR(CL97&lt;0,CM97&lt;0,CL97&gt;1-輸入!$E$2),"",IF(1-輸入!$E$2=0,0,SUMPRODUCT($L$2:$L$13*CL97/$S$2:$S$13)*輸入!$E$5+SUMPRODUCT($M$2:$M$13*CL97/(1-輸入!$E$2)/$T$2:$T$13)*輸入!$E$6+SUMPRODUCT((($L$2:$L$13*CM97)+($M$2:$M$13*CM97/(1-輸入!$E$2)))/輸入!$S$5)*輸入!$E$8))</f>
        <v>2143743.1115860622</v>
      </c>
      <c r="CO97" s="57"/>
      <c r="CP97" s="57"/>
      <c r="CX97" s="39">
        <f t="shared" si="26"/>
        <v>0.95000000000000062</v>
      </c>
      <c r="CY97" s="39">
        <f>1-輸入!$E$2-CX97</f>
        <v>0</v>
      </c>
      <c r="CZ97" s="40" t="str">
        <f>IF(OR(CX97&lt;0,CY97&lt;0,CX97&gt;1-輸入!$E$2),"",IF(1-輸入!$E$2=0,0,SUMPRODUCT($L$2:$L$13*CX97/$BB$2:$BB$13)*輸入!$E$5+SUMPRODUCT($M$2:$M$13*CX97/(1-輸入!$E$2)/$BC$2:$BC$13)*輸入!$E$6+SUMPRODUCT((($L$2:$L$13*CY97)+($M$2:$M$13*CY97/(1-輸入!$E$2)))/輸入!$S$6)*輸入!$E$8))</f>
        <v/>
      </c>
    </row>
    <row r="98" spans="1:104" s="2" customFormat="1" ht="15" customHeight="1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163"/>
      <c r="AA98" s="163"/>
      <c r="AB98" s="163"/>
      <c r="AC98" s="163"/>
      <c r="AD98" s="163"/>
      <c r="AE98" s="70"/>
      <c r="AF98" s="70"/>
      <c r="AG98" s="70"/>
      <c r="AH98" s="70"/>
      <c r="AI98" s="70"/>
      <c r="AJ98" s="70"/>
      <c r="AK98" s="70"/>
      <c r="AL98" s="156"/>
      <c r="AM98" s="156"/>
      <c r="AN98" s="156"/>
      <c r="AO98" s="156"/>
      <c r="AP98" s="156"/>
      <c r="AQ98" s="156"/>
      <c r="AR98" s="156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64">
        <v>0.96</v>
      </c>
      <c r="CM98" s="64">
        <f>1-輸入!$E$2-CL98</f>
        <v>-1.0000000000000009E-2</v>
      </c>
      <c r="CN98" s="65" t="str">
        <f>IF(OR(CL98&lt;0,CM98&lt;0,CL98&gt;1-輸入!$E$2),"",IF(1-輸入!$E$2=0,0,SUMPRODUCT($L$2:$L$13*CL98/$S$2:$S$13)*輸入!$E$5+SUMPRODUCT($M$2:$M$13*CL98/(1-輸入!$E$2)/$T$2:$T$13)*輸入!$E$6+SUMPRODUCT((($L$2:$L$13*CM98)+($M$2:$M$13*CM98/(1-輸入!$E$2)))/輸入!$S$5)*輸入!$E$8))</f>
        <v/>
      </c>
      <c r="CO98" s="57"/>
      <c r="CP98" s="57"/>
      <c r="CX98" s="39">
        <f t="shared" si="26"/>
        <v>0.96000000000000063</v>
      </c>
      <c r="CY98" s="39">
        <f>1-輸入!$E$2-CX98</f>
        <v>-1.0000000000000675E-2</v>
      </c>
      <c r="CZ98" s="40" t="str">
        <f>IF(OR(CX98&lt;0,CY98&lt;0,CX98&gt;1-輸入!$E$2),"",IF(1-輸入!$E$2=0,0,SUMPRODUCT($L$2:$L$13*CX98/$BB$2:$BB$13)*輸入!$E$5+SUMPRODUCT($M$2:$M$13*CX98/(1-輸入!$E$2)/$BC$2:$BC$13)*輸入!$E$6+SUMPRODUCT((($L$2:$L$13*CY98)+($M$2:$M$13*CY98/(1-輸入!$E$2)))/輸入!$S$6)*輸入!$E$8))</f>
        <v/>
      </c>
    </row>
    <row r="99" spans="1:104" s="2" customFormat="1" ht="15" customHeight="1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163"/>
      <c r="AA99" s="163"/>
      <c r="AB99" s="163"/>
      <c r="AC99" s="163"/>
      <c r="AD99" s="163"/>
      <c r="AE99" s="70"/>
      <c r="AF99" s="70"/>
      <c r="AG99" s="70"/>
      <c r="AH99" s="70"/>
      <c r="AI99" s="70"/>
      <c r="AJ99" s="70"/>
      <c r="AK99" s="70"/>
      <c r="AL99" s="156"/>
      <c r="AM99" s="156"/>
      <c r="AN99" s="156"/>
      <c r="AO99" s="156"/>
      <c r="AP99" s="156"/>
      <c r="AQ99" s="156"/>
      <c r="AR99" s="156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57"/>
      <c r="BX99" s="57"/>
      <c r="BY99" s="57"/>
      <c r="BZ99" s="57"/>
      <c r="CA99" s="57"/>
      <c r="CB99" s="57"/>
      <c r="CC99" s="57"/>
      <c r="CD99" s="57"/>
      <c r="CE99" s="57"/>
      <c r="CF99" s="57"/>
      <c r="CG99" s="57"/>
      <c r="CH99" s="57"/>
      <c r="CI99" s="57"/>
      <c r="CJ99" s="57"/>
      <c r="CK99" s="57"/>
      <c r="CL99" s="64">
        <v>0.97</v>
      </c>
      <c r="CM99" s="64">
        <f>1-輸入!$E$2-CL99</f>
        <v>-2.0000000000000018E-2</v>
      </c>
      <c r="CN99" s="65" t="str">
        <f>IF(OR(CL99&lt;0,CM99&lt;0,CL99&gt;1-輸入!$E$2),"",IF(1-輸入!$E$2=0,0,SUMPRODUCT($L$2:$L$13*CL99/$S$2:$S$13)*輸入!$E$5+SUMPRODUCT($M$2:$M$13*CL99/(1-輸入!$E$2)/$T$2:$T$13)*輸入!$E$6+SUMPRODUCT((($L$2:$L$13*CM99)+($M$2:$M$13*CM99/(1-輸入!$E$2)))/輸入!$S$5)*輸入!$E$8))</f>
        <v/>
      </c>
      <c r="CO99" s="57"/>
      <c r="CP99" s="57"/>
      <c r="CX99" s="39">
        <f t="shared" si="26"/>
        <v>0.97000000000000064</v>
      </c>
      <c r="CY99" s="39">
        <f>1-輸入!$E$2-CX99</f>
        <v>-2.0000000000000684E-2</v>
      </c>
      <c r="CZ99" s="40" t="str">
        <f>IF(OR(CX99&lt;0,CY99&lt;0,CX99&gt;1-輸入!$E$2),"",IF(1-輸入!$E$2=0,0,SUMPRODUCT($L$2:$L$13*CX99/$BB$2:$BB$13)*輸入!$E$5+SUMPRODUCT($M$2:$M$13*CX99/(1-輸入!$E$2)/$BC$2:$BC$13)*輸入!$E$6+SUMPRODUCT((($L$2:$L$13*CY99)+($M$2:$M$13*CY99/(1-輸入!$E$2)))/輸入!$S$6)*輸入!$E$8))</f>
        <v/>
      </c>
    </row>
    <row r="100" spans="1:104" s="2" customFormat="1" ht="15" customHeight="1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163"/>
      <c r="AA100" s="163"/>
      <c r="AB100" s="163"/>
      <c r="AC100" s="163"/>
      <c r="AD100" s="163"/>
      <c r="AE100" s="70"/>
      <c r="AF100" s="70"/>
      <c r="AG100" s="70"/>
      <c r="AH100" s="70"/>
      <c r="AI100" s="70"/>
      <c r="AJ100" s="70"/>
      <c r="AK100" s="70"/>
      <c r="AL100" s="156"/>
      <c r="AM100" s="156"/>
      <c r="AN100" s="156"/>
      <c r="AO100" s="156"/>
      <c r="AP100" s="156"/>
      <c r="AQ100" s="156"/>
      <c r="AR100" s="156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57"/>
      <c r="BX100" s="57"/>
      <c r="BY100" s="57"/>
      <c r="BZ100" s="57"/>
      <c r="CA100" s="57"/>
      <c r="CB100" s="57"/>
      <c r="CC100" s="57"/>
      <c r="CD100" s="57"/>
      <c r="CE100" s="57"/>
      <c r="CF100" s="57"/>
      <c r="CG100" s="57"/>
      <c r="CH100" s="57"/>
      <c r="CI100" s="57"/>
      <c r="CJ100" s="57"/>
      <c r="CK100" s="57"/>
      <c r="CL100" s="64">
        <v>0.98</v>
      </c>
      <c r="CM100" s="64">
        <f>1-輸入!$E$2-CL100</f>
        <v>-3.0000000000000027E-2</v>
      </c>
      <c r="CN100" s="65" t="str">
        <f>IF(OR(CL100&lt;0,CM100&lt;0,CL100&gt;1-輸入!$E$2),"",IF(1-輸入!$E$2=0,0,SUMPRODUCT($L$2:$L$13*CL100/$S$2:$S$13)*輸入!$E$5+SUMPRODUCT($M$2:$M$13*CL100/(1-輸入!$E$2)/$T$2:$T$13)*輸入!$E$6+SUMPRODUCT((($L$2:$L$13*CM100)+($M$2:$M$13*CM100/(1-輸入!$E$2)))/輸入!$S$5)*輸入!$E$8))</f>
        <v/>
      </c>
      <c r="CO100" s="57"/>
      <c r="CP100" s="57"/>
      <c r="CX100" s="39">
        <f t="shared" si="26"/>
        <v>0.98000000000000065</v>
      </c>
      <c r="CY100" s="39">
        <f>1-輸入!$E$2-CX100</f>
        <v>-3.0000000000000693E-2</v>
      </c>
      <c r="CZ100" s="40" t="str">
        <f>IF(OR(CX100&lt;0,CY100&lt;0,CX100&gt;1-輸入!$E$2),"",IF(1-輸入!$E$2=0,0,SUMPRODUCT($L$2:$L$13*CX100/$BB$2:$BB$13)*輸入!$E$5+SUMPRODUCT($M$2:$M$13*CX100/(1-輸入!$E$2)/$BC$2:$BC$13)*輸入!$E$6+SUMPRODUCT((($L$2:$L$13*CY100)+($M$2:$M$13*CY100/(1-輸入!$E$2)))/輸入!$S$6)*輸入!$E$8))</f>
        <v/>
      </c>
    </row>
    <row r="101" spans="1:104" s="2" customFormat="1" ht="15" customHeight="1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163"/>
      <c r="AA101" s="163"/>
      <c r="AB101" s="163"/>
      <c r="AC101" s="163"/>
      <c r="AD101" s="163"/>
      <c r="AE101" s="70"/>
      <c r="AF101" s="70"/>
      <c r="AG101" s="70"/>
      <c r="AH101" s="70"/>
      <c r="AI101" s="70"/>
      <c r="AJ101" s="70"/>
      <c r="AK101" s="70"/>
      <c r="AL101" s="156"/>
      <c r="AM101" s="156"/>
      <c r="AN101" s="156"/>
      <c r="AO101" s="156"/>
      <c r="AP101" s="156"/>
      <c r="AQ101" s="156"/>
      <c r="AR101" s="156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64">
        <v>0.99</v>
      </c>
      <c r="CM101" s="64">
        <f>1-輸入!$E$2-CL101</f>
        <v>-4.0000000000000036E-2</v>
      </c>
      <c r="CN101" s="65" t="str">
        <f>IF(OR(CL101&lt;0,CM101&lt;0,CL101&gt;1-輸入!$E$2),"",IF(1-輸入!$E$2=0,0,SUMPRODUCT($L$2:$L$13*CL101/$S$2:$S$13)*輸入!$E$5+SUMPRODUCT($M$2:$M$13*CL101/(1-輸入!$E$2)/$T$2:$T$13)*輸入!$E$6+SUMPRODUCT((($L$2:$L$13*CM101)+($M$2:$M$13*CM101/(1-輸入!$E$2)))/輸入!$S$5)*輸入!$E$8))</f>
        <v/>
      </c>
      <c r="CO101" s="57"/>
      <c r="CP101" s="57"/>
      <c r="CX101" s="39">
        <f t="shared" si="26"/>
        <v>0.99000000000000066</v>
      </c>
      <c r="CY101" s="39">
        <f>1-輸入!$E$2-CX101</f>
        <v>-4.0000000000000702E-2</v>
      </c>
      <c r="CZ101" s="40" t="str">
        <f>IF(OR(CX101&lt;0,CY101&lt;0,CX101&gt;1-輸入!$E$2),"",IF(1-輸入!$E$2=0,0,SUMPRODUCT($L$2:$L$13*CX101/$BB$2:$BB$13)*輸入!$E$5+SUMPRODUCT($M$2:$M$13*CX101/(1-輸入!$E$2)/$BC$2:$BC$13)*輸入!$E$6+SUMPRODUCT((($L$2:$L$13*CY101)+($M$2:$M$13*CY101/(1-輸入!$E$2)))/輸入!$S$6)*輸入!$E$8))</f>
        <v/>
      </c>
    </row>
    <row r="102" spans="1:104" s="2" customFormat="1" ht="15" customHeight="1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163"/>
      <c r="AA102" s="163"/>
      <c r="AB102" s="163"/>
      <c r="AC102" s="163"/>
      <c r="AD102" s="163"/>
      <c r="AE102" s="70"/>
      <c r="AF102" s="70"/>
      <c r="AG102" s="70"/>
      <c r="AH102" s="70"/>
      <c r="AI102" s="70"/>
      <c r="AJ102" s="70"/>
      <c r="AK102" s="70"/>
      <c r="AL102" s="156"/>
      <c r="AM102" s="156"/>
      <c r="AN102" s="156"/>
      <c r="AO102" s="156"/>
      <c r="AP102" s="156"/>
      <c r="AQ102" s="156"/>
      <c r="AR102" s="156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64">
        <v>1</v>
      </c>
      <c r="CM102" s="64">
        <f>1-輸入!$E$2-CL102</f>
        <v>-5.0000000000000044E-2</v>
      </c>
      <c r="CN102" s="65" t="str">
        <f>IF(OR(CL102&lt;0,CM102&lt;0,CL102&gt;1-輸入!$E$2),"",IF(1-輸入!$E$2=0,0,SUMPRODUCT($L$2:$L$13*CL102/$S$2:$S$13)*輸入!$E$5+SUMPRODUCT($M$2:$M$13*CL102/(1-輸入!$E$2)/$T$2:$T$13)*輸入!$E$6+SUMPRODUCT((($L$2:$L$13*CM102)+($M$2:$M$13*CM102/(1-輸入!$E$2)))/輸入!$S$5)*輸入!$E$8))</f>
        <v/>
      </c>
      <c r="CO102" s="57"/>
      <c r="CP102" s="57"/>
      <c r="CX102" s="39">
        <f t="shared" si="26"/>
        <v>1.0000000000000007</v>
      </c>
      <c r="CY102" s="39">
        <f>1-輸入!$E$2-CX102</f>
        <v>-5.0000000000000711E-2</v>
      </c>
      <c r="CZ102" s="40" t="str">
        <f>IF(OR(CX102&lt;0,CY102&lt;0,CX102&gt;1-輸入!$E$2),"",IF(1-輸入!$E$2=0,0,SUMPRODUCT($L$2:$L$13*CX102/$BB$2:$BB$13)*輸入!$E$5+SUMPRODUCT($M$2:$M$13*CX102/(1-輸入!$E$2)/$BC$2:$BC$13)*輸入!$E$6+SUMPRODUCT((($L$2:$L$13*CY102)+($M$2:$M$13*CY102/(1-輸入!$E$2)))/輸入!$S$6)*輸入!$E$8))</f>
        <v/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25"/>
  <sheetViews>
    <sheetView workbookViewId="0">
      <selection activeCell="H9" sqref="H9"/>
    </sheetView>
  </sheetViews>
  <sheetFormatPr defaultColWidth="8.6328125" defaultRowHeight="13"/>
  <cols>
    <col min="1" max="1" width="3" style="181" customWidth="1"/>
    <col min="2" max="2" width="19.26953125" style="182" customWidth="1"/>
    <col min="3" max="3" width="12.81640625" style="182" customWidth="1"/>
    <col min="4" max="4" width="12.453125" style="182" customWidth="1"/>
    <col min="5" max="5" width="13.54296875" style="182" customWidth="1"/>
    <col min="6" max="6" width="12.36328125" style="182" customWidth="1"/>
    <col min="7" max="7" width="13.36328125" style="182" customWidth="1"/>
    <col min="8" max="8" width="11" style="182" customWidth="1"/>
    <col min="9" max="9" width="14.08984375" style="182" customWidth="1"/>
    <col min="10" max="10" width="11.36328125" style="182" customWidth="1"/>
    <col min="11" max="11" width="23.6328125" style="182" customWidth="1"/>
    <col min="12" max="12" width="15.7265625" style="182" customWidth="1"/>
    <col min="13" max="13" width="4.81640625" style="182" customWidth="1"/>
    <col min="14" max="14" width="18" style="182" customWidth="1"/>
    <col min="15" max="15" width="13.90625" style="182" customWidth="1"/>
    <col min="16" max="16" width="12.90625" style="182" customWidth="1"/>
    <col min="17" max="17" width="14" style="182" customWidth="1"/>
    <col min="18" max="18" width="16.36328125" style="182" customWidth="1"/>
    <col min="19" max="19" width="16" style="182" customWidth="1"/>
    <col min="20" max="21" width="14" style="182" customWidth="1"/>
    <col min="22" max="23" width="16" style="182" customWidth="1"/>
    <col min="24" max="16384" width="8.6328125" style="181"/>
  </cols>
  <sheetData>
    <row r="1" spans="2:18" s="179" customFormat="1" ht="19.75" customHeight="1">
      <c r="B1" s="180" t="s">
        <v>261</v>
      </c>
    </row>
    <row r="2" spans="2:18" ht="14">
      <c r="I2" s="179"/>
      <c r="J2" s="179"/>
      <c r="K2" s="179"/>
      <c r="L2" s="179"/>
      <c r="M2" s="179"/>
      <c r="N2" s="183" t="s">
        <v>152</v>
      </c>
    </row>
    <row r="3" spans="2:18" s="179" customFormat="1" ht="34.5" customHeight="1">
      <c r="B3" s="184" t="s">
        <v>262</v>
      </c>
      <c r="C3" s="185" t="s">
        <v>274</v>
      </c>
      <c r="D3" s="185" t="s">
        <v>275</v>
      </c>
      <c r="E3" s="185" t="s">
        <v>276</v>
      </c>
      <c r="F3" s="185" t="s">
        <v>277</v>
      </c>
      <c r="G3" s="185" t="s">
        <v>278</v>
      </c>
      <c r="H3" s="185" t="s">
        <v>263</v>
      </c>
      <c r="I3" s="185" t="s">
        <v>279</v>
      </c>
      <c r="J3" s="185" t="s">
        <v>264</v>
      </c>
      <c r="N3" s="184" t="s">
        <v>137</v>
      </c>
      <c r="O3" s="185" t="s">
        <v>138</v>
      </c>
      <c r="P3" s="185" t="s">
        <v>139</v>
      </c>
      <c r="Q3" s="185" t="s">
        <v>140</v>
      </c>
      <c r="R3" s="185" t="s">
        <v>141</v>
      </c>
    </row>
    <row r="4" spans="2:18" s="179" customFormat="1" ht="15" customHeight="1">
      <c r="B4" s="186" t="s">
        <v>29</v>
      </c>
      <c r="C4" s="187">
        <f>SUM(計算!AB2:AB13)</f>
        <v>3612405.7721525356</v>
      </c>
      <c r="D4" s="187">
        <f>C4/輸入!$B$10</f>
        <v>3612.4057721525355</v>
      </c>
      <c r="E4" s="187">
        <f>輸入!$R$3</f>
        <v>1760000</v>
      </c>
      <c r="F4" s="187">
        <f>SUM(計算!AD2:AD13)</f>
        <v>453329.83136185119</v>
      </c>
      <c r="G4" s="187">
        <f>F4/輸入!$B$10</f>
        <v>453.32983136185118</v>
      </c>
      <c r="H4" s="175" t="str">
        <f>輸入!$AA$3</f>
        <v>足夠</v>
      </c>
      <c r="I4" s="188">
        <f>輸入!$V$3</f>
        <v>800</v>
      </c>
      <c r="J4" s="189">
        <f>輸入!$S$3</f>
        <v>0.9</v>
      </c>
      <c r="N4" s="190">
        <v>0</v>
      </c>
      <c r="O4" s="191">
        <f>IF(N4=0,-$C$15,IF(N4&lt;=輸入!$E$19,$C$13,""))</f>
        <v>-1640000</v>
      </c>
      <c r="P4" s="191">
        <f>IF(N4=0,-$D$15,IF(N4&lt;=輸入!$E$19,$D$13,""))</f>
        <v>3400000</v>
      </c>
      <c r="Q4" s="191">
        <f>IF(N4=0,-$E$15,IF(N4&lt;=輸入!$E$19,$E$13,""))</f>
        <v>-2820000</v>
      </c>
      <c r="R4" s="191">
        <f>IF(N4=0,-$F$15,IF(N4&lt;=輸入!$E$19,$F$13,""))</f>
        <v>2220000</v>
      </c>
    </row>
    <row r="5" spans="2:18" s="179" customFormat="1" ht="15" customHeight="1">
      <c r="B5" s="192" t="s">
        <v>34</v>
      </c>
      <c r="C5" s="193">
        <f>SUM(計算!AI2:AI13)</f>
        <v>2056842.4862336211</v>
      </c>
      <c r="D5" s="193">
        <f>C5/輸入!$B$10</f>
        <v>2056.842486233621</v>
      </c>
      <c r="E5" s="193">
        <f>輸入!$R$4</f>
        <v>6800000</v>
      </c>
      <c r="F5" s="193">
        <f>SUM(計算!AK2:AK13)</f>
        <v>472018.21131416631</v>
      </c>
      <c r="G5" s="193">
        <f>F5/輸入!$B$10</f>
        <v>472.01821131416631</v>
      </c>
      <c r="H5" s="176" t="str">
        <f>輸入!$AA$4</f>
        <v>足夠</v>
      </c>
      <c r="I5" s="194">
        <f>輸入!$V$4</f>
        <v>595</v>
      </c>
      <c r="J5" s="195">
        <f>輸入!$T$4</f>
        <v>4.0142857142857142</v>
      </c>
      <c r="N5" s="190">
        <v>1</v>
      </c>
      <c r="O5" s="191">
        <f>IF(N5=0,-$C$15,IF(N5&lt;=輸入!$E$19,$C$13,""))</f>
        <v>909585.69850518927</v>
      </c>
      <c r="P5" s="191">
        <f>IF(N5=0,-$D$15,IF(N5&lt;=輸入!$E$19,$D$13,""))</f>
        <v>-645977.58741372521</v>
      </c>
      <c r="Q5" s="191">
        <f>IF(N5=0,-$E$15,IF(N5&lt;=輸入!$E$19,$E$13,""))</f>
        <v>1572319.5484205242</v>
      </c>
      <c r="R5" s="191">
        <f>IF(N5=0,-$F$15,IF(N5&lt;=輸入!$E$19,$F$13,""))</f>
        <v>16756.262501609745</v>
      </c>
    </row>
    <row r="6" spans="2:18" s="179" customFormat="1" ht="15" customHeight="1">
      <c r="B6" s="196" t="s">
        <v>39</v>
      </c>
      <c r="C6" s="197">
        <f>SUM(計算!Y2:Y13)</f>
        <v>2702820.0736473463</v>
      </c>
      <c r="D6" s="197">
        <f>C6/輸入!$B$10</f>
        <v>2702.8200736473464</v>
      </c>
      <c r="E6" s="197">
        <f>輸入!$R$5</f>
        <v>3400000</v>
      </c>
      <c r="F6" s="197">
        <f>SUM(計算!AR2:AR13)</f>
        <v>474325.10339052347</v>
      </c>
      <c r="G6" s="197">
        <f>F6/輸入!$B$10</f>
        <v>474.32510339052345</v>
      </c>
      <c r="H6" s="177" t="str">
        <f>輸入!$AA$5</f>
        <v>足夠</v>
      </c>
      <c r="I6" s="198">
        <f>輸入!$V$5</f>
        <v>670</v>
      </c>
      <c r="J6" s="199">
        <f>輸入!$T$5</f>
        <v>3.8</v>
      </c>
      <c r="N6" s="190">
        <v>2</v>
      </c>
      <c r="O6" s="191">
        <f>IF(N6=0,-$C$15,IF(N6&lt;=輸入!$E$19,$C$13,""))</f>
        <v>909585.69850518927</v>
      </c>
      <c r="P6" s="191">
        <f>IF(N6=0,-$D$15,IF(N6&lt;=輸入!$E$19,$D$13,""))</f>
        <v>-645977.58741372521</v>
      </c>
      <c r="Q6" s="191">
        <f>IF(N6=0,-$E$15,IF(N6&lt;=輸入!$E$19,$E$13,""))</f>
        <v>1572319.5484205242</v>
      </c>
      <c r="R6" s="191">
        <f>IF(N6=0,-$F$15,IF(N6&lt;=輸入!$E$19,$F$13,""))</f>
        <v>16756.262501609745</v>
      </c>
    </row>
    <row r="7" spans="2:18" s="179" customFormat="1" ht="15" customHeight="1">
      <c r="B7" s="200" t="s">
        <v>44</v>
      </c>
      <c r="C7" s="201">
        <f>SUM(計算!BH2:BH13)</f>
        <v>2040086.2237320114</v>
      </c>
      <c r="D7" s="201">
        <f>C7/輸入!$B$10</f>
        <v>2040.0862237320114</v>
      </c>
      <c r="E7" s="201">
        <f>輸入!$R$6</f>
        <v>4580000</v>
      </c>
      <c r="F7" s="201">
        <f>SUM(計算!BK2:BK13)</f>
        <v>466026.46860041528</v>
      </c>
      <c r="G7" s="201">
        <f>F7/輸入!$B$10</f>
        <v>466.02646860041528</v>
      </c>
      <c r="H7" s="178" t="str">
        <f>輸入!$AA$6</f>
        <v>足夠</v>
      </c>
      <c r="I7" s="202">
        <f>輸入!$V$6</f>
        <v>640</v>
      </c>
      <c r="J7" s="203">
        <f>輸入!$T$6</f>
        <v>4</v>
      </c>
      <c r="K7" s="204" t="s">
        <v>265</v>
      </c>
      <c r="L7" s="204" t="s">
        <v>266</v>
      </c>
      <c r="N7" s="190">
        <v>3</v>
      </c>
      <c r="O7" s="191">
        <f>IF(N7=0,-$C$15,IF(N7&lt;=輸入!$E$19,$C$13,""))</f>
        <v>909585.69850518927</v>
      </c>
      <c r="P7" s="191">
        <f>IF(N7=0,-$D$15,IF(N7&lt;=輸入!$E$19,$D$13,""))</f>
        <v>-645977.58741372521</v>
      </c>
      <c r="Q7" s="191">
        <f>IF(N7=0,-$E$15,IF(N7&lt;=輸入!$E$19,$E$13,""))</f>
        <v>1572319.5484205242</v>
      </c>
      <c r="R7" s="191">
        <f>IF(N7=0,-$F$15,IF(N7&lt;=輸入!$E$19,$F$13,""))</f>
        <v>16756.262501609745</v>
      </c>
    </row>
    <row r="8" spans="2:18" s="179" customFormat="1" ht="15" customHeight="1">
      <c r="K8" s="179" t="s">
        <v>267</v>
      </c>
      <c r="L8" s="205">
        <f>輸入!E2</f>
        <v>0.05</v>
      </c>
      <c r="N8" s="190">
        <v>4</v>
      </c>
      <c r="O8" s="191">
        <f>IF(N8=0,-$C$15,IF(N8&lt;=輸入!$E$19,$C$13,""))</f>
        <v>909585.69850518927</v>
      </c>
      <c r="P8" s="191">
        <f>IF(N8=0,-$D$15,IF(N8&lt;=輸入!$E$19,$D$13,""))</f>
        <v>-645977.58741372521</v>
      </c>
      <c r="Q8" s="191">
        <f>IF(N8=0,-$E$15,IF(N8&lt;=輸入!$E$19,$E$13,""))</f>
        <v>1572319.5484205242</v>
      </c>
      <c r="R8" s="191">
        <f>IF(N8=0,-$F$15,IF(N8&lt;=輸入!$E$19,$F$13,""))</f>
        <v>16756.262501609745</v>
      </c>
    </row>
    <row r="9" spans="2:18" s="179" customFormat="1" ht="15" customHeight="1">
      <c r="K9" s="206" t="s">
        <v>268</v>
      </c>
      <c r="L9" s="207">
        <f>計算!DA2</f>
        <v>0.94000000000000061</v>
      </c>
      <c r="N9" s="190">
        <v>5</v>
      </c>
      <c r="O9" s="191">
        <f>IF(N9=0,-$C$15,IF(N9&lt;=輸入!$E$19,$C$13,""))</f>
        <v>909585.69850518927</v>
      </c>
      <c r="P9" s="191">
        <f>IF(N9=0,-$D$15,IF(N9&lt;=輸入!$E$19,$D$13,""))</f>
        <v>-645977.58741372521</v>
      </c>
      <c r="Q9" s="191">
        <f>IF(N9=0,-$E$15,IF(N9&lt;=輸入!$E$19,$E$13,""))</f>
        <v>1572319.5484205242</v>
      </c>
      <c r="R9" s="191">
        <f>IF(N9=0,-$F$15,IF(N9&lt;=輸入!$E$19,$F$13,""))</f>
        <v>16756.262501609745</v>
      </c>
    </row>
    <row r="10" spans="2:18" s="179" customFormat="1" ht="21.5" customHeight="1">
      <c r="K10" s="206" t="s">
        <v>269</v>
      </c>
      <c r="L10" s="207">
        <f>計算!DB2</f>
        <v>9.9999999999993427E-3</v>
      </c>
      <c r="N10" s="190">
        <v>6</v>
      </c>
      <c r="O10" s="191">
        <f>IF(N10=0,-$C$15,IF(N10&lt;=輸入!$E$19,$C$13,""))</f>
        <v>909585.69850518927</v>
      </c>
      <c r="P10" s="191">
        <f>IF(N10=0,-$D$15,IF(N10&lt;=輸入!$E$19,$D$13,""))</f>
        <v>-645977.58741372521</v>
      </c>
      <c r="Q10" s="191">
        <f>IF(N10=0,-$E$15,IF(N10&lt;=輸入!$E$19,$E$13,""))</f>
        <v>1572319.5484205242</v>
      </c>
      <c r="R10" s="191">
        <f>IF(N10=0,-$F$15,IF(N10&lt;=輸入!$E$19,$F$13,""))</f>
        <v>16756.262501609745</v>
      </c>
    </row>
    <row r="11" spans="2:18" s="179" customFormat="1" ht="22" customHeight="1">
      <c r="B11" s="180" t="s">
        <v>270</v>
      </c>
      <c r="K11" s="247" t="s">
        <v>271</v>
      </c>
      <c r="L11" s="247"/>
      <c r="N11" s="190">
        <v>7</v>
      </c>
      <c r="O11" s="191">
        <f>IF(N11=0,-$C$15,IF(N11&lt;=輸入!$E$19,$C$13,""))</f>
        <v>909585.69850518927</v>
      </c>
      <c r="P11" s="191">
        <f>IF(N11=0,-$D$15,IF(N11&lt;=輸入!$E$19,$D$13,""))</f>
        <v>-645977.58741372521</v>
      </c>
      <c r="Q11" s="191">
        <f>IF(N11=0,-$E$15,IF(N11&lt;=輸入!$E$19,$E$13,""))</f>
        <v>1572319.5484205242</v>
      </c>
      <c r="R11" s="191">
        <f>IF(N11=0,-$F$15,IF(N11&lt;=輸入!$E$19,$F$13,""))</f>
        <v>16756.262501609745</v>
      </c>
    </row>
    <row r="12" spans="2:18" s="179" customFormat="1" ht="43" customHeight="1">
      <c r="B12" s="184" t="s">
        <v>272</v>
      </c>
      <c r="C12" s="185" t="s">
        <v>280</v>
      </c>
      <c r="D12" s="185" t="s">
        <v>281</v>
      </c>
      <c r="E12" s="185" t="s">
        <v>282</v>
      </c>
      <c r="F12" s="185" t="s">
        <v>283</v>
      </c>
      <c r="N12" s="190">
        <v>8</v>
      </c>
      <c r="O12" s="191">
        <f>IF(N12=0,-$C$15,IF(N12&lt;=輸入!$E$19,$C$13,""))</f>
        <v>909585.69850518927</v>
      </c>
      <c r="P12" s="191">
        <f>IF(N12=0,-$D$15,IF(N12&lt;=輸入!$E$19,$D$13,""))</f>
        <v>-645977.58741372521</v>
      </c>
      <c r="Q12" s="191">
        <f>IF(N12=0,-$E$15,IF(N12&lt;=輸入!$E$19,$E$13,""))</f>
        <v>1572319.5484205242</v>
      </c>
      <c r="R12" s="191">
        <f>IF(N12=0,-$F$15,IF(N12&lt;=輸入!$E$19,$F$13,""))</f>
        <v>16756.262501609745</v>
      </c>
    </row>
    <row r="13" spans="2:18" s="179" customFormat="1" ht="17.149999999999999" customHeight="1">
      <c r="B13" s="208" t="s">
        <v>284</v>
      </c>
      <c r="C13" s="209">
        <f>C4-C6</f>
        <v>909585.69850518927</v>
      </c>
      <c r="D13" s="209">
        <f>C5-C6</f>
        <v>-645977.58741372521</v>
      </c>
      <c r="E13" s="209">
        <f>C4-C7</f>
        <v>1572319.5484205242</v>
      </c>
      <c r="F13" s="209">
        <f>C5-C7</f>
        <v>16756.262501609745</v>
      </c>
      <c r="N13" s="190">
        <v>9</v>
      </c>
      <c r="O13" s="191">
        <f>IF(N13=0,-$C$15,IF(N13&lt;=輸入!$E$19,$C$13,""))</f>
        <v>909585.69850518927</v>
      </c>
      <c r="P13" s="191">
        <f>IF(N13=0,-$D$15,IF(N13&lt;=輸入!$E$19,$D$13,""))</f>
        <v>-645977.58741372521</v>
      </c>
      <c r="Q13" s="191">
        <f>IF(N13=0,-$E$15,IF(N13&lt;=輸入!$E$19,$E$13,""))</f>
        <v>1572319.5484205242</v>
      </c>
      <c r="R13" s="191">
        <f>IF(N13=0,-$F$15,IF(N13&lt;=輸入!$E$19,$F$13,""))</f>
        <v>16756.262501609745</v>
      </c>
    </row>
    <row r="14" spans="2:18" s="179" customFormat="1" ht="17.149999999999999" customHeight="1">
      <c r="B14" s="208" t="s">
        <v>285</v>
      </c>
      <c r="C14" s="209">
        <f>F4-F6</f>
        <v>-20995.272028672276</v>
      </c>
      <c r="D14" s="209">
        <f>F5-F6</f>
        <v>-2306.8920763571514</v>
      </c>
      <c r="E14" s="209">
        <f>F4-F7</f>
        <v>-12696.637238564086</v>
      </c>
      <c r="F14" s="209">
        <f>F5-F7</f>
        <v>5991.7427137510385</v>
      </c>
      <c r="N14" s="190">
        <v>10</v>
      </c>
      <c r="O14" s="191">
        <f>IF(N14=0,-$C$15,IF(N14&lt;=輸入!$E$19,$C$13,""))</f>
        <v>909585.69850518927</v>
      </c>
      <c r="P14" s="191">
        <f>IF(N14=0,-$D$15,IF(N14&lt;=輸入!$E$19,$D$13,""))</f>
        <v>-645977.58741372521</v>
      </c>
      <c r="Q14" s="191">
        <f>IF(N14=0,-$E$15,IF(N14&lt;=輸入!$E$19,$E$13,""))</f>
        <v>1572319.5484205242</v>
      </c>
      <c r="R14" s="191">
        <f>IF(N14=0,-$F$15,IF(N14&lt;=輸入!$E$19,$F$13,""))</f>
        <v>16756.262501609745</v>
      </c>
    </row>
    <row r="15" spans="2:18" s="179" customFormat="1" ht="17.149999999999999" customHeight="1">
      <c r="B15" s="208" t="s">
        <v>286</v>
      </c>
      <c r="C15" s="209">
        <f>E6-E4</f>
        <v>1640000</v>
      </c>
      <c r="D15" s="209">
        <f>E6-E5</f>
        <v>-3400000</v>
      </c>
      <c r="E15" s="209">
        <f>E7-E4</f>
        <v>2820000</v>
      </c>
      <c r="F15" s="209">
        <f>E7-E5</f>
        <v>-2220000</v>
      </c>
      <c r="N15" s="190">
        <v>11</v>
      </c>
      <c r="O15" s="191">
        <f>IF(N15=0,-$C$15,IF(N15&lt;=輸入!$E$19,$C$13,""))</f>
        <v>909585.69850518927</v>
      </c>
      <c r="P15" s="191">
        <f>IF(N15=0,-$D$15,IF(N15&lt;=輸入!$E$19,$D$13,""))</f>
        <v>-645977.58741372521</v>
      </c>
      <c r="Q15" s="191">
        <f>IF(N15=0,-$E$15,IF(N15&lt;=輸入!$E$19,$E$13,""))</f>
        <v>1572319.5484205242</v>
      </c>
      <c r="R15" s="191">
        <f>IF(N15=0,-$F$15,IF(N15&lt;=輸入!$E$19,$F$13,""))</f>
        <v>16756.262501609745</v>
      </c>
    </row>
    <row r="16" spans="2:18" s="179" customFormat="1" ht="15" customHeight="1">
      <c r="B16" s="208" t="s">
        <v>287</v>
      </c>
      <c r="C16" s="210">
        <f>IFERROR(C15/C13,"")</f>
        <v>1.8030186739909957</v>
      </c>
      <c r="D16" s="210">
        <f>IFERROR(D15/D13,"")</f>
        <v>5.2633405032091671</v>
      </c>
      <c r="E16" s="210">
        <f>IFERROR(E15/E13,"")</f>
        <v>1.7935285501174585</v>
      </c>
      <c r="F16" s="210">
        <f>IFERROR(F15/F13,"")</f>
        <v>-132.48777881026444</v>
      </c>
      <c r="N16" s="190">
        <v>12</v>
      </c>
      <c r="O16" s="191">
        <f>IF(N16=0,-$C$15,IF(N16&lt;=輸入!$E$19,$C$13,""))</f>
        <v>909585.69850518927</v>
      </c>
      <c r="P16" s="191">
        <f>IF(N16=0,-$D$15,IF(N16&lt;=輸入!$E$19,$D$13,""))</f>
        <v>-645977.58741372521</v>
      </c>
      <c r="Q16" s="191">
        <f>IF(N16=0,-$E$15,IF(N16&lt;=輸入!$E$19,$E$13,""))</f>
        <v>1572319.5484205242</v>
      </c>
      <c r="R16" s="191">
        <f>IF(N16=0,-$F$15,IF(N16&lt;=輸入!$E$19,$F$13,""))</f>
        <v>16756.262501609745</v>
      </c>
    </row>
    <row r="17" spans="2:18" s="179" customFormat="1" ht="17.149999999999999" customHeight="1">
      <c r="B17" s="208" t="s">
        <v>153</v>
      </c>
      <c r="C17" s="210">
        <f>IFERROR(C13/C15,"")</f>
        <v>0.55462542591779829</v>
      </c>
      <c r="D17" s="210">
        <f>IFERROR(D13/D15,"")</f>
        <v>0.18999340806286036</v>
      </c>
      <c r="E17" s="210">
        <f>IFERROR(E13/E15,"")</f>
        <v>0.55756012355337736</v>
      </c>
      <c r="F17" s="210">
        <f>IFERROR(F13/F15,"")</f>
        <v>-7.5478659917161016E-3</v>
      </c>
      <c r="N17" s="190">
        <v>13</v>
      </c>
      <c r="O17" s="191">
        <f>IF(N17=0,-$C$15,IF(N17&lt;=輸入!$E$19,$C$13,""))</f>
        <v>909585.69850518927</v>
      </c>
      <c r="P17" s="191">
        <f>IF(N17=0,-$D$15,IF(N17&lt;=輸入!$E$19,$D$13,""))</f>
        <v>-645977.58741372521</v>
      </c>
      <c r="Q17" s="191">
        <f>IF(N17=0,-$E$15,IF(N17&lt;=輸入!$E$19,$E$13,""))</f>
        <v>1572319.5484205242</v>
      </c>
      <c r="R17" s="191">
        <f>IF(N17=0,-$F$15,IF(N17&lt;=輸入!$E$19,$F$13,""))</f>
        <v>16756.262501609745</v>
      </c>
    </row>
    <row r="18" spans="2:18" s="179" customFormat="1" ht="15" customHeight="1">
      <c r="B18" s="208" t="s">
        <v>288</v>
      </c>
      <c r="C18" s="209">
        <f>IF(輸入!$E$18=0,C13*輸入!$E$19-C15,C13*(1-(1+輸入!$E$18)^(-輸入!$E$19))/輸入!$E$18-C15)</f>
        <v>6145579.401197792</v>
      </c>
      <c r="D18" s="209">
        <f>IF(輸入!$E$18=0,D13*輸入!$E$19-D15,D13*(1-(1+輸入!$E$18)^(-輸入!$E$19))/輸入!$E$18-D15)</f>
        <v>-2129231.3923458783</v>
      </c>
      <c r="E18" s="209">
        <f>IF(輸入!$E$18=0,E13*輸入!$E$19-E15,E13*(1-(1+輸入!$E$18)^(-輸入!$E$19))/輸入!$E$18-E15)</f>
        <v>10638235.6653155</v>
      </c>
      <c r="F18" s="209">
        <f>IF(輸入!$E$18=0,F13*輸入!$E$19-F15,F13*(1-(1+輸入!$E$18)^(-輸入!$E$19))/輸入!$E$18-F15)</f>
        <v>2363424.8717718283</v>
      </c>
      <c r="N18" s="190">
        <v>14</v>
      </c>
      <c r="O18" s="191">
        <f>IF(N18=0,-$C$15,IF(N18&lt;=輸入!$E$19,$C$13,""))</f>
        <v>909585.69850518927</v>
      </c>
      <c r="P18" s="191">
        <f>IF(N18=0,-$D$15,IF(N18&lt;=輸入!$E$19,$D$13,""))</f>
        <v>-645977.58741372521</v>
      </c>
      <c r="Q18" s="191">
        <f>IF(N18=0,-$E$15,IF(N18&lt;=輸入!$E$19,$E$13,""))</f>
        <v>1572319.5484205242</v>
      </c>
      <c r="R18" s="191">
        <f>IF(N18=0,-$F$15,IF(N18&lt;=輸入!$E$19,$F$13,""))</f>
        <v>16756.262501609745</v>
      </c>
    </row>
    <row r="19" spans="2:18" s="179" customFormat="1" ht="15" customHeight="1">
      <c r="B19" s="208" t="s">
        <v>154</v>
      </c>
      <c r="C19" s="211">
        <f>IFERROR(IF(IRR(O3:INDEX(O:O,輸入!$E$19+5))&lt;=0,"N/A",IRR(O3:INDEX(O:O,輸入!$E$19+5))),"N/A")</f>
        <v>0.55387942384023425</v>
      </c>
      <c r="D19" s="211">
        <f>IFERROR(IF(IRR(P3:INDEX(P:P,輸入!$E$19+5))&lt;=0,"N/A",IRR(P3:INDEX(P:P,輸入!$E$19+5))),"N/A")</f>
        <v>0.17254293423209921</v>
      </c>
      <c r="E19" s="211">
        <f>IFERROR(IF(IRR(Q3:INDEX(Q:Q,輸入!$E$19+5))&lt;=0,"N/A",IRR(Q3:INDEX(Q:Q,輸入!$E$19+5))),"N/A")</f>
        <v>0.55683122227191029</v>
      </c>
      <c r="F19" s="211" t="str">
        <f>IFERROR(IF(IRR(R3:INDEX(R:R,輸入!$E$19+5))&lt;=0,"N/A",IRR(R3:INDEX(R:R,輸入!$E$19+5))),"N/A")</f>
        <v>N/A</v>
      </c>
      <c r="N19" s="190">
        <v>15</v>
      </c>
      <c r="O19" s="191">
        <f>IF(N19=0,-$C$15,IF(N19&lt;=輸入!$E$19,$C$13,""))</f>
        <v>909585.69850518927</v>
      </c>
      <c r="P19" s="191">
        <f>IF(N19=0,-$D$15,IF(N19&lt;=輸入!$E$19,$D$13,""))</f>
        <v>-645977.58741372521</v>
      </c>
      <c r="Q19" s="191">
        <f>IF(N19=0,-$E$15,IF(N19&lt;=輸入!$E$19,$E$13,""))</f>
        <v>1572319.5484205242</v>
      </c>
      <c r="R19" s="191">
        <f>IF(N19=0,-$F$15,IF(N19&lt;=輸入!$E$19,$F$13,""))</f>
        <v>16756.262501609745</v>
      </c>
    </row>
    <row r="20" spans="2:18" s="179" customFormat="1" ht="15" customHeight="1">
      <c r="B20" s="208" t="s">
        <v>273</v>
      </c>
      <c r="C20" s="209" t="str">
        <f>IF($H$6&lt;&gt;"足夠","不建議投資",IF(OR(C13&lt;=0,C17&lt;=0,C18&lt;=0,NOT(ISNUMBER(C19)),C19&lt;=輸入!$E$18),"不建議投資","可考慮投資"))</f>
        <v>可考慮投資</v>
      </c>
      <c r="D20" s="209" t="str">
        <f>IF($H$6&lt;&gt;"足夠","不建議投資",IF(OR(D13&lt;=0,D17&lt;=0,D18&lt;=0,NOT(ISNUMBER(D19)),D19&lt;=輸入!$E$18),"不建議投資","可考慮投資"))</f>
        <v>不建議投資</v>
      </c>
      <c r="E20" s="209" t="str">
        <f>IF($H$7&lt;&gt;"足夠","不建議投資",IF(OR(E13&lt;=0,E17&lt;=0,E18&lt;=0,NOT(ISNUMBER(E19)),E19&lt;=輸入!$E$18),"不建議投資","可考慮投資"))</f>
        <v>可考慮投資</v>
      </c>
      <c r="F20" s="209" t="str">
        <f>IF($H$7&lt;&gt;"足夠","不建議投資",IF(OR(F13&lt;=0,F17&lt;=0,F18&lt;=0,NOT(ISNUMBER(F19)),F19&lt;=輸入!$E$18),"不建議投資","可考慮投資"))</f>
        <v>不建議投資</v>
      </c>
      <c r="N20" s="190">
        <v>16</v>
      </c>
      <c r="O20" s="191" t="str">
        <f>IF(N20=0,-$C$15,IF(N20&lt;=輸入!$E$19,$C$13,""))</f>
        <v/>
      </c>
      <c r="P20" s="191" t="str">
        <f>IF(N20=0,-$D$15,IF(N20&lt;=輸入!$E$19,$D$13,""))</f>
        <v/>
      </c>
      <c r="Q20" s="191" t="str">
        <f>IF(N20=0,-$E$15,IF(N20&lt;=輸入!$E$19,$E$13,""))</f>
        <v/>
      </c>
      <c r="R20" s="191" t="str">
        <f>IF(N20=0,-$F$15,IF(N20&lt;=輸入!$E$19,$F$13,""))</f>
        <v/>
      </c>
    </row>
    <row r="21" spans="2:18" s="179" customFormat="1" ht="15" customHeight="1">
      <c r="N21" s="190">
        <v>17</v>
      </c>
      <c r="O21" s="191" t="str">
        <f>IF(N21=0,-$C$15,IF(N21&lt;=輸入!$E$19,$C$13,""))</f>
        <v/>
      </c>
      <c r="P21" s="191" t="str">
        <f>IF(N21=0,-$D$15,IF(N21&lt;=輸入!$E$19,$D$13,""))</f>
        <v/>
      </c>
      <c r="Q21" s="191" t="str">
        <f>IF(N21=0,-$E$15,IF(N21&lt;=輸入!$E$19,$E$13,""))</f>
        <v/>
      </c>
      <c r="R21" s="191" t="str">
        <f>IF(N21=0,-$F$15,IF(N21&lt;=輸入!$E$19,$F$13,""))</f>
        <v/>
      </c>
    </row>
    <row r="22" spans="2:18" s="179" customFormat="1" ht="15" customHeight="1">
      <c r="N22" s="190">
        <v>18</v>
      </c>
      <c r="O22" s="191" t="str">
        <f>IF(N22=0,-$C$15,IF(N22&lt;=輸入!$E$19,$C$13,""))</f>
        <v/>
      </c>
      <c r="P22" s="191" t="str">
        <f>IF(N22=0,-$D$15,IF(N22&lt;=輸入!$E$19,$D$13,""))</f>
        <v/>
      </c>
      <c r="Q22" s="191" t="str">
        <f>IF(N22=0,-$E$15,IF(N22&lt;=輸入!$E$19,$E$13,""))</f>
        <v/>
      </c>
      <c r="R22" s="191" t="str">
        <f>IF(N22=0,-$F$15,IF(N22&lt;=輸入!$E$19,$F$13,""))</f>
        <v/>
      </c>
    </row>
    <row r="23" spans="2:18" s="179" customFormat="1" ht="15" customHeight="1">
      <c r="N23" s="190">
        <v>19</v>
      </c>
      <c r="O23" s="191" t="str">
        <f>IF(N23=0,-$C$15,IF(N23&lt;=輸入!$E$19,$C$13,""))</f>
        <v/>
      </c>
      <c r="P23" s="191" t="str">
        <f>IF(N23=0,-$D$15,IF(N23&lt;=輸入!$E$19,$D$13,""))</f>
        <v/>
      </c>
      <c r="Q23" s="191" t="str">
        <f>IF(N23=0,-$E$15,IF(N23&lt;=輸入!$E$19,$E$13,""))</f>
        <v/>
      </c>
      <c r="R23" s="191" t="str">
        <f>IF(N23=0,-$F$15,IF(N23&lt;=輸入!$E$19,$F$13,""))</f>
        <v/>
      </c>
    </row>
    <row r="24" spans="2:18" s="179" customFormat="1" ht="15" customHeight="1">
      <c r="N24" s="190">
        <v>20</v>
      </c>
      <c r="O24" s="191" t="str">
        <f>IF(N24=0,-$C$15,IF(N24&lt;=輸入!$E$19,$C$13,""))</f>
        <v/>
      </c>
      <c r="P24" s="191" t="str">
        <f>IF(N24=0,-$D$15,IF(N24&lt;=輸入!$E$19,$D$13,""))</f>
        <v/>
      </c>
      <c r="Q24" s="191" t="str">
        <f>IF(N24=0,-$E$15,IF(N24&lt;=輸入!$E$19,$E$13,""))</f>
        <v/>
      </c>
      <c r="R24" s="191" t="str">
        <f>IF(N24=0,-$F$15,IF(N24&lt;=輸入!$E$19,$F$13,""))</f>
        <v/>
      </c>
    </row>
    <row r="25" spans="2:18" s="179" customFormat="1" ht="15" customHeight="1"/>
  </sheetData>
  <mergeCells count="1">
    <mergeCell ref="K11:L1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C681-BF29-43BB-BF71-29FB26F6BB78}">
  <dimension ref="A1:N64"/>
  <sheetViews>
    <sheetView topLeftCell="F1" workbookViewId="0">
      <selection activeCell="P12" sqref="P12"/>
    </sheetView>
  </sheetViews>
  <sheetFormatPr defaultColWidth="8.6328125" defaultRowHeight="12.5"/>
  <cols>
    <col min="1" max="1" width="18" style="118" customWidth="1"/>
    <col min="2" max="14" width="16" style="118" customWidth="1"/>
    <col min="15" max="16384" width="8.6328125" style="117"/>
  </cols>
  <sheetData>
    <row r="1" spans="1:1" ht="19.5" customHeight="1">
      <c r="A1" s="221" t="s">
        <v>155</v>
      </c>
    </row>
    <row r="64" spans="10:10" ht="2" customHeight="1">
      <c r="J64" s="220" t="s">
        <v>301</v>
      </c>
    </row>
  </sheetData>
  <phoneticPr fontId="18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1"/>
  <sheetViews>
    <sheetView workbookViewId="0"/>
  </sheetViews>
  <sheetFormatPr defaultColWidth="8.6328125" defaultRowHeight="12.5"/>
  <cols>
    <col min="1" max="1" width="7" style="1" customWidth="1"/>
    <col min="2" max="2" width="18" style="1" customWidth="1"/>
    <col min="3" max="14" width="9" style="1" customWidth="1"/>
    <col min="15" max="16" width="11" style="1" customWidth="1"/>
    <col min="17" max="17" width="10" style="1" customWidth="1"/>
    <col min="18" max="18" width="12" style="1" customWidth="1"/>
  </cols>
  <sheetData>
    <row r="1" spans="1:18" s="2" customFormat="1" ht="15" customHeight="1">
      <c r="A1" s="75" t="s">
        <v>156</v>
      </c>
      <c r="B1" s="75" t="s">
        <v>157</v>
      </c>
      <c r="C1" s="75" t="s">
        <v>158</v>
      </c>
      <c r="D1" s="75" t="s">
        <v>159</v>
      </c>
      <c r="E1" s="75" t="s">
        <v>160</v>
      </c>
      <c r="F1" s="75" t="s">
        <v>161</v>
      </c>
      <c r="G1" s="75" t="s">
        <v>162</v>
      </c>
      <c r="H1" s="75" t="s">
        <v>163</v>
      </c>
      <c r="I1" s="75" t="s">
        <v>164</v>
      </c>
      <c r="J1" s="75" t="s">
        <v>165</v>
      </c>
      <c r="K1" s="75" t="s">
        <v>166</v>
      </c>
      <c r="L1" s="75" t="s">
        <v>167</v>
      </c>
      <c r="M1" s="75" t="s">
        <v>168</v>
      </c>
      <c r="N1" s="75" t="s">
        <v>169</v>
      </c>
      <c r="O1" s="75" t="s">
        <v>170</v>
      </c>
      <c r="P1" s="75" t="s">
        <v>171</v>
      </c>
      <c r="Q1" s="75" t="s">
        <v>172</v>
      </c>
      <c r="R1" s="75" t="s">
        <v>173</v>
      </c>
    </row>
    <row r="2" spans="1:18" s="2" customFormat="1" ht="16.5" customHeight="1">
      <c r="A2" s="20">
        <v>0</v>
      </c>
      <c r="B2" s="16" t="s">
        <v>174</v>
      </c>
      <c r="C2" s="76">
        <v>27</v>
      </c>
      <c r="D2" s="76">
        <v>27.6</v>
      </c>
      <c r="E2" s="76">
        <v>28.1</v>
      </c>
      <c r="F2" s="76">
        <v>28.5</v>
      </c>
      <c r="G2" s="76">
        <v>28.6</v>
      </c>
      <c r="H2" s="76">
        <v>28.3</v>
      </c>
      <c r="I2" s="76">
        <v>28.1</v>
      </c>
      <c r="J2" s="76">
        <v>28.1</v>
      </c>
      <c r="K2" s="76">
        <v>28</v>
      </c>
      <c r="L2" s="76">
        <v>27.9</v>
      </c>
      <c r="M2" s="76">
        <v>27.7</v>
      </c>
      <c r="N2" s="76">
        <v>27.1</v>
      </c>
      <c r="O2" s="76">
        <v>1</v>
      </c>
      <c r="P2" s="76">
        <v>-1</v>
      </c>
      <c r="Q2" s="77">
        <v>1.35</v>
      </c>
      <c r="R2" s="77">
        <v>0.41</v>
      </c>
    </row>
    <row r="3" spans="1:18" s="2" customFormat="1" ht="16.5" customHeight="1">
      <c r="A3" s="20">
        <v>1</v>
      </c>
      <c r="B3" s="16" t="s">
        <v>175</v>
      </c>
      <c r="C3" s="76">
        <v>27</v>
      </c>
      <c r="D3" s="76">
        <v>28.9</v>
      </c>
      <c r="E3" s="76">
        <v>30.3</v>
      </c>
      <c r="F3" s="76">
        <v>31.2</v>
      </c>
      <c r="G3" s="76">
        <v>30.4</v>
      </c>
      <c r="H3" s="76">
        <v>29.6</v>
      </c>
      <c r="I3" s="76">
        <v>29.1</v>
      </c>
      <c r="J3" s="76">
        <v>29</v>
      </c>
      <c r="K3" s="76">
        <v>28.7</v>
      </c>
      <c r="L3" s="76">
        <v>28.1</v>
      </c>
      <c r="M3" s="76">
        <v>27.3</v>
      </c>
      <c r="N3" s="76">
        <v>26.3</v>
      </c>
      <c r="O3" s="76">
        <v>1.5</v>
      </c>
      <c r="P3" s="76">
        <v>-1.5</v>
      </c>
      <c r="Q3" s="77">
        <v>13.76</v>
      </c>
      <c r="R3" s="77">
        <v>0.53</v>
      </c>
    </row>
    <row r="4" spans="1:18" s="2" customFormat="1" ht="16.5" customHeight="1">
      <c r="A4" s="20">
        <v>2</v>
      </c>
      <c r="B4" s="16" t="s">
        <v>176</v>
      </c>
      <c r="C4" s="76">
        <v>-2.7</v>
      </c>
      <c r="D4" s="76">
        <v>0.3</v>
      </c>
      <c r="E4" s="76">
        <v>6.8</v>
      </c>
      <c r="F4" s="76">
        <v>14.6</v>
      </c>
      <c r="G4" s="76">
        <v>20</v>
      </c>
      <c r="H4" s="76">
        <v>24.5</v>
      </c>
      <c r="I4" s="76">
        <v>27</v>
      </c>
      <c r="J4" s="76">
        <v>25.7</v>
      </c>
      <c r="K4" s="76">
        <v>20.6</v>
      </c>
      <c r="L4" s="76">
        <v>13.8</v>
      </c>
      <c r="M4" s="76">
        <v>5.3</v>
      </c>
      <c r="N4" s="76">
        <v>-0.9</v>
      </c>
      <c r="O4" s="76">
        <v>3.2</v>
      </c>
      <c r="P4" s="76">
        <v>-4.5</v>
      </c>
      <c r="Q4" s="77">
        <v>39.9</v>
      </c>
      <c r="R4" s="77">
        <v>0.57999999999999996</v>
      </c>
    </row>
    <row r="5" spans="1:18" s="2" customFormat="1" ht="16.5" customHeight="1">
      <c r="A5" s="20">
        <v>3</v>
      </c>
      <c r="B5" s="16" t="s">
        <v>4</v>
      </c>
      <c r="C5" s="76">
        <v>-18.3</v>
      </c>
      <c r="D5" s="76">
        <v>-13</v>
      </c>
      <c r="E5" s="76">
        <v>-4.2</v>
      </c>
      <c r="F5" s="76">
        <v>6.2</v>
      </c>
      <c r="G5" s="76">
        <v>14</v>
      </c>
      <c r="H5" s="76">
        <v>20.100000000000001</v>
      </c>
      <c r="I5" s="76">
        <v>23</v>
      </c>
      <c r="J5" s="76">
        <v>21.6</v>
      </c>
      <c r="K5" s="76">
        <v>14.7</v>
      </c>
      <c r="L5" s="76">
        <v>5.8</v>
      </c>
      <c r="M5" s="76">
        <v>-5.8</v>
      </c>
      <c r="N5" s="76">
        <v>-14.9</v>
      </c>
      <c r="O5" s="76">
        <v>4</v>
      </c>
      <c r="P5" s="76">
        <v>-5.5</v>
      </c>
      <c r="Q5" s="77">
        <v>45.8</v>
      </c>
      <c r="R5" s="77">
        <v>0.65</v>
      </c>
    </row>
    <row r="6" spans="1:18" s="2" customFormat="1" ht="16.5" customHeight="1">
      <c r="A6" s="20">
        <v>4</v>
      </c>
      <c r="B6" s="16" t="s">
        <v>177</v>
      </c>
      <c r="C6" s="76">
        <v>5.8</v>
      </c>
      <c r="D6" s="76">
        <v>6.4</v>
      </c>
      <c r="E6" s="76">
        <v>9.4</v>
      </c>
      <c r="F6" s="76">
        <v>14.3</v>
      </c>
      <c r="G6" s="76">
        <v>18.8</v>
      </c>
      <c r="H6" s="76">
        <v>21.7</v>
      </c>
      <c r="I6" s="76">
        <v>25.7</v>
      </c>
      <c r="J6" s="76">
        <v>27.4</v>
      </c>
      <c r="K6" s="76">
        <v>23.8</v>
      </c>
      <c r="L6" s="76">
        <v>18</v>
      </c>
      <c r="M6" s="76">
        <v>12.5</v>
      </c>
      <c r="N6" s="76">
        <v>8</v>
      </c>
      <c r="O6" s="76">
        <v>2</v>
      </c>
      <c r="P6" s="76">
        <v>-2.8</v>
      </c>
      <c r="Q6" s="77">
        <v>35.68</v>
      </c>
      <c r="R6" s="77">
        <v>0.45</v>
      </c>
    </row>
    <row r="7" spans="1:18" s="2" customFormat="1" ht="16.5" customHeight="1">
      <c r="A7" s="20">
        <v>5</v>
      </c>
      <c r="B7" s="16" t="s">
        <v>178</v>
      </c>
      <c r="C7" s="76">
        <v>-1.9</v>
      </c>
      <c r="D7" s="76">
        <v>1</v>
      </c>
      <c r="E7" s="76">
        <v>6.3</v>
      </c>
      <c r="F7" s="76">
        <v>12.8</v>
      </c>
      <c r="G7" s="76">
        <v>18.2</v>
      </c>
      <c r="H7" s="76">
        <v>22.7</v>
      </c>
      <c r="I7" s="76">
        <v>25.9</v>
      </c>
      <c r="J7" s="76">
        <v>26.4</v>
      </c>
      <c r="K7" s="76">
        <v>21.7</v>
      </c>
      <c r="L7" s="76">
        <v>15.2</v>
      </c>
      <c r="M7" s="76">
        <v>8.3000000000000007</v>
      </c>
      <c r="N7" s="76">
        <v>1.5</v>
      </c>
      <c r="O7" s="76">
        <v>2.8</v>
      </c>
      <c r="P7" s="76">
        <v>-4</v>
      </c>
      <c r="Q7" s="77">
        <v>37.57</v>
      </c>
      <c r="R7" s="77">
        <v>0.46</v>
      </c>
    </row>
    <row r="8" spans="1:18" s="2" customFormat="1" ht="16.5" customHeight="1">
      <c r="A8" s="20">
        <v>6</v>
      </c>
      <c r="B8" s="16" t="s">
        <v>179</v>
      </c>
      <c r="C8" s="76">
        <v>5.3</v>
      </c>
      <c r="D8" s="76">
        <v>5.3</v>
      </c>
      <c r="E8" s="76">
        <v>7.4</v>
      </c>
      <c r="F8" s="76">
        <v>9.5</v>
      </c>
      <c r="G8" s="76">
        <v>13</v>
      </c>
      <c r="H8" s="76">
        <v>16.100000000000001</v>
      </c>
      <c r="I8" s="76">
        <v>18.3</v>
      </c>
      <c r="J8" s="76">
        <v>18</v>
      </c>
      <c r="K8" s="76">
        <v>15.2</v>
      </c>
      <c r="L8" s="76">
        <v>11.7</v>
      </c>
      <c r="M8" s="76">
        <v>8</v>
      </c>
      <c r="N8" s="76">
        <v>5.7</v>
      </c>
      <c r="O8" s="76">
        <v>2</v>
      </c>
      <c r="P8" s="76">
        <v>-2.5</v>
      </c>
      <c r="Q8" s="77">
        <v>51.51</v>
      </c>
      <c r="R8" s="77">
        <v>0.2</v>
      </c>
    </row>
    <row r="9" spans="1:18" s="2" customFormat="1" ht="16.5" customHeight="1">
      <c r="A9" s="20">
        <v>7</v>
      </c>
      <c r="B9" s="16" t="s">
        <v>180</v>
      </c>
      <c r="C9" s="76">
        <v>5.0999999999999996</v>
      </c>
      <c r="D9" s="76">
        <v>6</v>
      </c>
      <c r="E9" s="76">
        <v>9.3000000000000007</v>
      </c>
      <c r="F9" s="76">
        <v>12.3</v>
      </c>
      <c r="G9" s="76">
        <v>15.9</v>
      </c>
      <c r="H9" s="76">
        <v>19</v>
      </c>
      <c r="I9" s="76">
        <v>21.2</v>
      </c>
      <c r="J9" s="76">
        <v>21</v>
      </c>
      <c r="K9" s="76">
        <v>17.600000000000001</v>
      </c>
      <c r="L9" s="76">
        <v>13.7</v>
      </c>
      <c r="M9" s="76">
        <v>8.8000000000000007</v>
      </c>
      <c r="N9" s="76">
        <v>5.8</v>
      </c>
      <c r="O9" s="76">
        <v>2</v>
      </c>
      <c r="P9" s="76">
        <v>-2.7</v>
      </c>
      <c r="Q9" s="77">
        <v>48.86</v>
      </c>
      <c r="R9" s="77">
        <v>0.06</v>
      </c>
    </row>
    <row r="10" spans="1:18" s="2" customFormat="1" ht="16.5" customHeight="1">
      <c r="A10" s="20">
        <v>8</v>
      </c>
      <c r="B10" s="16" t="s">
        <v>181</v>
      </c>
      <c r="C10" s="76">
        <v>20.9</v>
      </c>
      <c r="D10" s="76">
        <v>22.3</v>
      </c>
      <c r="E10" s="76">
        <v>25.3</v>
      </c>
      <c r="F10" s="76">
        <v>29</v>
      </c>
      <c r="G10" s="76">
        <v>33.200000000000003</v>
      </c>
      <c r="H10" s="76">
        <v>35.1</v>
      </c>
      <c r="I10" s="76">
        <v>36.799999999999997</v>
      </c>
      <c r="J10" s="76">
        <v>36.9</v>
      </c>
      <c r="K10" s="76">
        <v>34.1</v>
      </c>
      <c r="L10" s="76">
        <v>30.7</v>
      </c>
      <c r="M10" s="76">
        <v>26.4</v>
      </c>
      <c r="N10" s="76">
        <v>22.3</v>
      </c>
      <c r="O10" s="76">
        <v>1.8</v>
      </c>
      <c r="P10" s="76">
        <v>-1.8</v>
      </c>
      <c r="Q10" s="77">
        <v>25.2</v>
      </c>
      <c r="R10" s="77">
        <v>0.45</v>
      </c>
    </row>
    <row r="11" spans="1:18" s="2" customFormat="1" ht="16.5" customHeight="1">
      <c r="A11" s="20">
        <v>9</v>
      </c>
      <c r="B11" s="16" t="s">
        <v>182</v>
      </c>
      <c r="C11" s="76">
        <v>23</v>
      </c>
      <c r="D11" s="76">
        <v>22.8</v>
      </c>
      <c r="E11" s="76">
        <v>21</v>
      </c>
      <c r="F11" s="76">
        <v>17.5</v>
      </c>
      <c r="G11" s="76">
        <v>14.4</v>
      </c>
      <c r="H11" s="76">
        <v>11.8</v>
      </c>
      <c r="I11" s="76">
        <v>10.9</v>
      </c>
      <c r="J11" s="76">
        <v>12.2</v>
      </c>
      <c r="K11" s="76">
        <v>14.6</v>
      </c>
      <c r="L11" s="76">
        <v>17.399999999999999</v>
      </c>
      <c r="M11" s="76">
        <v>19.8</v>
      </c>
      <c r="N11" s="76">
        <v>21.8</v>
      </c>
      <c r="O11" s="76">
        <v>2.2000000000000002</v>
      </c>
      <c r="P11" s="76">
        <v>-2.2000000000000002</v>
      </c>
      <c r="Q11" s="77">
        <v>-33.869999999999997</v>
      </c>
      <c r="R11" s="77">
        <v>0.74</v>
      </c>
    </row>
    <row r="12" spans="1:18" s="2" customFormat="1" ht="16.5" customHeight="1">
      <c r="A12" s="20">
        <v>10</v>
      </c>
      <c r="B12" s="16" t="s">
        <v>183</v>
      </c>
      <c r="C12" s="76">
        <v>20.3</v>
      </c>
      <c r="D12" s="76">
        <v>20.2</v>
      </c>
      <c r="E12" s="76">
        <v>18.399999999999999</v>
      </c>
      <c r="F12" s="76">
        <v>15</v>
      </c>
      <c r="G12" s="76">
        <v>11.8</v>
      </c>
      <c r="H12" s="76">
        <v>9.4</v>
      </c>
      <c r="I12" s="76">
        <v>8.6</v>
      </c>
      <c r="J12" s="76">
        <v>9.9</v>
      </c>
      <c r="K12" s="76">
        <v>11.8</v>
      </c>
      <c r="L12" s="76">
        <v>14.1</v>
      </c>
      <c r="M12" s="76">
        <v>16.2</v>
      </c>
      <c r="N12" s="76">
        <v>18.399999999999999</v>
      </c>
      <c r="O12" s="76">
        <v>2.5</v>
      </c>
      <c r="P12" s="76">
        <v>-2.5</v>
      </c>
      <c r="Q12" s="77">
        <v>-37.81</v>
      </c>
      <c r="R12" s="77">
        <v>0.74</v>
      </c>
    </row>
    <row r="13" spans="1:18" s="2" customFormat="1" ht="16.5" customHeight="1">
      <c r="A13" s="20">
        <v>11</v>
      </c>
      <c r="B13" s="16" t="s">
        <v>184</v>
      </c>
      <c r="C13" s="76">
        <v>4.7</v>
      </c>
      <c r="D13" s="76">
        <v>5.6</v>
      </c>
      <c r="E13" s="76">
        <v>7.4</v>
      </c>
      <c r="F13" s="76">
        <v>10.1</v>
      </c>
      <c r="G13" s="76">
        <v>13.3</v>
      </c>
      <c r="H13" s="76">
        <v>16.3</v>
      </c>
      <c r="I13" s="76">
        <v>18.5</v>
      </c>
      <c r="J13" s="76">
        <v>18.7</v>
      </c>
      <c r="K13" s="76">
        <v>15.5</v>
      </c>
      <c r="L13" s="76">
        <v>10.5</v>
      </c>
      <c r="M13" s="76">
        <v>6.3</v>
      </c>
      <c r="N13" s="76">
        <v>4</v>
      </c>
      <c r="O13" s="76">
        <v>2.2000000000000002</v>
      </c>
      <c r="P13" s="76">
        <v>-3</v>
      </c>
      <c r="Q13" s="77">
        <v>49.28</v>
      </c>
      <c r="R13" s="77">
        <v>2.5000000000000001E-2</v>
      </c>
    </row>
    <row r="14" spans="1:18" s="2" customFormat="1" ht="16.5" customHeight="1">
      <c r="A14" s="20">
        <v>12</v>
      </c>
      <c r="B14" s="16" t="s">
        <v>185</v>
      </c>
      <c r="C14" s="76">
        <v>-6.5</v>
      </c>
      <c r="D14" s="76">
        <v>-6.7</v>
      </c>
      <c r="E14" s="76">
        <v>-1</v>
      </c>
      <c r="F14" s="76">
        <v>7.6</v>
      </c>
      <c r="G14" s="76">
        <v>14.6</v>
      </c>
      <c r="H14" s="76">
        <v>17.8</v>
      </c>
      <c r="I14" s="76">
        <v>19.8</v>
      </c>
      <c r="J14" s="76">
        <v>17.600000000000001</v>
      </c>
      <c r="K14" s="76">
        <v>11.8</v>
      </c>
      <c r="L14" s="76">
        <v>5.7</v>
      </c>
      <c r="M14" s="76">
        <v>-0.7</v>
      </c>
      <c r="N14" s="76">
        <v>-4.7</v>
      </c>
      <c r="O14" s="76">
        <v>3.5</v>
      </c>
      <c r="P14" s="76">
        <v>-5</v>
      </c>
      <c r="Q14" s="77">
        <v>55.76</v>
      </c>
      <c r="R14" s="77">
        <v>0.32</v>
      </c>
    </row>
    <row r="15" spans="1:18" s="2" customFormat="1" ht="16.5" customHeight="1">
      <c r="A15" s="20">
        <v>13</v>
      </c>
      <c r="B15" s="16" t="s">
        <v>186</v>
      </c>
      <c r="C15" s="76">
        <v>16.399999999999999</v>
      </c>
      <c r="D15" s="76">
        <v>16.8</v>
      </c>
      <c r="E15" s="76">
        <v>18.8</v>
      </c>
      <c r="F15" s="76">
        <v>22.3</v>
      </c>
      <c r="G15" s="76">
        <v>25.5</v>
      </c>
      <c r="H15" s="76">
        <v>28.2</v>
      </c>
      <c r="I15" s="76">
        <v>29.9</v>
      </c>
      <c r="J15" s="76">
        <v>29.5</v>
      </c>
      <c r="K15" s="76">
        <v>27.8</v>
      </c>
      <c r="L15" s="76">
        <v>24.6</v>
      </c>
      <c r="M15" s="76">
        <v>21.5</v>
      </c>
      <c r="N15" s="76">
        <v>17.899999999999999</v>
      </c>
      <c r="O15" s="76">
        <v>2</v>
      </c>
      <c r="P15" s="76">
        <v>-2</v>
      </c>
      <c r="Q15" s="77">
        <v>25.03</v>
      </c>
      <c r="R15" s="77">
        <v>0.502</v>
      </c>
    </row>
    <row r="16" spans="1:18" s="2" customFormat="1" ht="16.5" customHeight="1">
      <c r="A16" s="20">
        <v>14</v>
      </c>
      <c r="B16" s="16" t="s">
        <v>187</v>
      </c>
      <c r="C16" s="76">
        <v>15.7</v>
      </c>
      <c r="D16" s="76">
        <v>16.100000000000001</v>
      </c>
      <c r="E16" s="76">
        <v>18.100000000000001</v>
      </c>
      <c r="F16" s="76">
        <v>21.8</v>
      </c>
      <c r="G16" s="76">
        <v>25</v>
      </c>
      <c r="H16" s="76">
        <v>27.8</v>
      </c>
      <c r="I16" s="76">
        <v>29.3</v>
      </c>
      <c r="J16" s="76">
        <v>28.9</v>
      </c>
      <c r="K16" s="76">
        <v>27.2</v>
      </c>
      <c r="L16" s="76">
        <v>24</v>
      </c>
      <c r="M16" s="76">
        <v>20.8</v>
      </c>
      <c r="N16" s="76">
        <v>17.2</v>
      </c>
      <c r="O16" s="76">
        <v>2</v>
      </c>
      <c r="P16" s="76">
        <v>-2</v>
      </c>
      <c r="Q16" s="77">
        <v>24.99</v>
      </c>
      <c r="R16" s="77">
        <v>0.502</v>
      </c>
    </row>
    <row r="17" spans="1:18" s="2" customFormat="1" ht="16.5" customHeight="1">
      <c r="A17" s="20">
        <v>15</v>
      </c>
      <c r="B17" s="16" t="s">
        <v>188</v>
      </c>
      <c r="C17" s="76">
        <v>15.5</v>
      </c>
      <c r="D17" s="76">
        <v>15.9</v>
      </c>
      <c r="E17" s="76">
        <v>17.899999999999999</v>
      </c>
      <c r="F17" s="76">
        <v>21.7</v>
      </c>
      <c r="G17" s="76">
        <v>24.9</v>
      </c>
      <c r="H17" s="76">
        <v>27.4</v>
      </c>
      <c r="I17" s="76">
        <v>29</v>
      </c>
      <c r="J17" s="76">
        <v>28.7</v>
      </c>
      <c r="K17" s="76">
        <v>27.1</v>
      </c>
      <c r="L17" s="76">
        <v>24.2</v>
      </c>
      <c r="M17" s="76">
        <v>21.2</v>
      </c>
      <c r="N17" s="76">
        <v>17.7</v>
      </c>
      <c r="O17" s="76">
        <v>2</v>
      </c>
      <c r="P17" s="76">
        <v>-2</v>
      </c>
      <c r="Q17" s="77">
        <v>24.81</v>
      </c>
      <c r="R17" s="77">
        <v>0.502</v>
      </c>
    </row>
    <row r="18" spans="1:18" s="2" customFormat="1" ht="16.5" customHeight="1">
      <c r="A18" s="20">
        <v>16</v>
      </c>
      <c r="B18" s="16" t="s">
        <v>189</v>
      </c>
      <c r="C18" s="76">
        <v>16.8</v>
      </c>
      <c r="D18" s="76">
        <v>17.600000000000001</v>
      </c>
      <c r="E18" s="76">
        <v>20.100000000000001</v>
      </c>
      <c r="F18" s="76">
        <v>23.6</v>
      </c>
      <c r="G18" s="76">
        <v>26.4</v>
      </c>
      <c r="H18" s="76">
        <v>28.2</v>
      </c>
      <c r="I18" s="76">
        <v>28.9</v>
      </c>
      <c r="J18" s="76">
        <v>28.5</v>
      </c>
      <c r="K18" s="76">
        <v>27.4</v>
      </c>
      <c r="L18" s="76">
        <v>24.8</v>
      </c>
      <c r="M18" s="76">
        <v>21.8</v>
      </c>
      <c r="N18" s="76">
        <v>18</v>
      </c>
      <c r="O18" s="76">
        <v>2</v>
      </c>
      <c r="P18" s="76">
        <v>-2</v>
      </c>
      <c r="Q18" s="77">
        <v>24.15</v>
      </c>
      <c r="R18" s="77">
        <v>0.502</v>
      </c>
    </row>
    <row r="19" spans="1:18" s="2" customFormat="1" ht="16.5" customHeight="1">
      <c r="A19" s="20">
        <v>17</v>
      </c>
      <c r="B19" s="16" t="s">
        <v>190</v>
      </c>
      <c r="C19" s="76">
        <v>16.8</v>
      </c>
      <c r="D19" s="76">
        <v>17.7</v>
      </c>
      <c r="E19" s="76">
        <v>20.2</v>
      </c>
      <c r="F19" s="76">
        <v>23.5</v>
      </c>
      <c r="G19" s="76">
        <v>26.3</v>
      </c>
      <c r="H19" s="76">
        <v>28.3</v>
      </c>
      <c r="I19" s="76">
        <v>28.9</v>
      </c>
      <c r="J19" s="76">
        <v>28.4</v>
      </c>
      <c r="K19" s="76">
        <v>27.4</v>
      </c>
      <c r="L19" s="76">
        <v>24.8</v>
      </c>
      <c r="M19" s="76">
        <v>22</v>
      </c>
      <c r="N19" s="76">
        <v>18.399999999999999</v>
      </c>
      <c r="O19" s="76">
        <v>2</v>
      </c>
      <c r="P19" s="76">
        <v>-2.5</v>
      </c>
      <c r="Q19" s="77">
        <v>23.48</v>
      </c>
      <c r="R19" s="77">
        <v>0.502</v>
      </c>
    </row>
    <row r="20" spans="1:18" s="2" customFormat="1" ht="16.5" customHeight="1">
      <c r="A20" s="20">
        <v>18</v>
      </c>
      <c r="B20" s="16" t="s">
        <v>191</v>
      </c>
      <c r="C20" s="76">
        <v>17.600000000000001</v>
      </c>
      <c r="D20" s="76">
        <v>18.600000000000001</v>
      </c>
      <c r="E20" s="76">
        <v>21.2</v>
      </c>
      <c r="F20" s="76">
        <v>24.5</v>
      </c>
      <c r="G20" s="76">
        <v>27.2</v>
      </c>
      <c r="H20" s="76">
        <v>28.5</v>
      </c>
      <c r="I20" s="76">
        <v>29.2</v>
      </c>
      <c r="J20" s="76">
        <v>28.8</v>
      </c>
      <c r="K20" s="76">
        <v>28.1</v>
      </c>
      <c r="L20" s="76">
        <v>26.1</v>
      </c>
      <c r="M20" s="76">
        <v>22.8</v>
      </c>
      <c r="N20" s="76">
        <v>18.899999999999999</v>
      </c>
      <c r="O20" s="76">
        <v>2</v>
      </c>
      <c r="P20" s="76">
        <v>-2.5</v>
      </c>
      <c r="Q20" s="77">
        <v>22.99</v>
      </c>
      <c r="R20" s="77">
        <v>0.502</v>
      </c>
    </row>
    <row r="21" spans="1:18" s="2" customFormat="1" ht="16.5" customHeight="1">
      <c r="A21" s="20">
        <v>19</v>
      </c>
      <c r="B21" s="16" t="s">
        <v>192</v>
      </c>
      <c r="C21" s="76">
        <v>19.7</v>
      </c>
      <c r="D21" s="76">
        <v>20.5</v>
      </c>
      <c r="E21" s="76">
        <v>23</v>
      </c>
      <c r="F21" s="76">
        <v>26</v>
      </c>
      <c r="G21" s="76">
        <v>28.4</v>
      </c>
      <c r="H21" s="76">
        <v>29.1</v>
      </c>
      <c r="I21" s="76">
        <v>29.4</v>
      </c>
      <c r="J21" s="76">
        <v>28.9</v>
      </c>
      <c r="K21" s="76">
        <v>28.4</v>
      </c>
      <c r="L21" s="76">
        <v>27</v>
      </c>
      <c r="M21" s="76">
        <v>24.8</v>
      </c>
      <c r="N21" s="76">
        <v>21.4</v>
      </c>
      <c r="O21" s="76">
        <v>2</v>
      </c>
      <c r="P21" s="76">
        <v>-2</v>
      </c>
      <c r="Q21" s="77">
        <v>22.63</v>
      </c>
      <c r="R21" s="77">
        <v>0.502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workbookViewId="0">
      <selection activeCell="H14" sqref="H14"/>
    </sheetView>
  </sheetViews>
  <sheetFormatPr defaultColWidth="8.6328125" defaultRowHeight="12.5"/>
  <cols>
    <col min="1" max="1" width="7" style="1" customWidth="1"/>
    <col min="2" max="2" width="10" style="1" customWidth="1"/>
    <col min="3" max="3" width="22" style="1" customWidth="1"/>
    <col min="4" max="4" width="10" style="1" customWidth="1"/>
    <col min="5" max="5" width="18" style="1" customWidth="1"/>
  </cols>
  <sheetData>
    <row r="1" spans="1:5" s="2" customFormat="1" ht="15" customHeight="1">
      <c r="A1" s="75" t="s">
        <v>156</v>
      </c>
      <c r="B1" s="75" t="s">
        <v>193</v>
      </c>
      <c r="C1" s="75" t="s">
        <v>194</v>
      </c>
      <c r="D1" s="75" t="s">
        <v>195</v>
      </c>
      <c r="E1" s="75" t="s">
        <v>196</v>
      </c>
    </row>
    <row r="2" spans="1:5" s="2" customFormat="1" ht="16.5" customHeight="1">
      <c r="A2" s="78">
        <v>0</v>
      </c>
      <c r="B2" s="79" t="s">
        <v>197</v>
      </c>
      <c r="C2" s="80" t="s">
        <v>56</v>
      </c>
      <c r="D2" s="81">
        <v>6.8</v>
      </c>
      <c r="E2" s="80" t="s">
        <v>198</v>
      </c>
    </row>
    <row r="3" spans="1:5" s="2" customFormat="1" ht="16.5" customHeight="1">
      <c r="A3" s="78">
        <v>1</v>
      </c>
      <c r="B3" s="79" t="s">
        <v>197</v>
      </c>
      <c r="C3" s="80" t="s">
        <v>199</v>
      </c>
      <c r="D3" s="81">
        <v>4</v>
      </c>
      <c r="E3" s="80" t="s">
        <v>200</v>
      </c>
    </row>
    <row r="4" spans="1:5" s="2" customFormat="1" ht="16.5" customHeight="1">
      <c r="A4" s="78">
        <v>2</v>
      </c>
      <c r="B4" s="79" t="s">
        <v>197</v>
      </c>
      <c r="C4" s="80" t="s">
        <v>201</v>
      </c>
      <c r="D4" s="81">
        <v>2</v>
      </c>
      <c r="E4" s="80" t="s">
        <v>202</v>
      </c>
    </row>
    <row r="5" spans="1:5" s="2" customFormat="1" ht="16.5" customHeight="1">
      <c r="A5" s="78">
        <v>3</v>
      </c>
      <c r="B5" s="79" t="s">
        <v>197</v>
      </c>
      <c r="C5" s="80" t="s">
        <v>203</v>
      </c>
      <c r="D5" s="81">
        <v>6.2</v>
      </c>
      <c r="E5" s="79" t="s">
        <v>204</v>
      </c>
    </row>
    <row r="6" spans="1:5" s="2" customFormat="1" ht="16.5" customHeight="1">
      <c r="A6" s="78">
        <v>4</v>
      </c>
      <c r="B6" s="79" t="s">
        <v>197</v>
      </c>
      <c r="C6" s="80" t="s">
        <v>205</v>
      </c>
      <c r="D6" s="81">
        <v>3.7</v>
      </c>
      <c r="E6" s="80" t="s">
        <v>206</v>
      </c>
    </row>
    <row r="7" spans="1:5" s="2" customFormat="1" ht="15" customHeight="1">
      <c r="A7" s="78">
        <v>5</v>
      </c>
      <c r="B7" s="79" t="s">
        <v>197</v>
      </c>
      <c r="C7" s="80" t="s">
        <v>207</v>
      </c>
      <c r="D7" s="81">
        <v>5.8</v>
      </c>
      <c r="E7" s="80" t="s">
        <v>207</v>
      </c>
    </row>
    <row r="8" spans="1:5" s="2" customFormat="1" ht="15" customHeight="1">
      <c r="A8" s="78">
        <v>6</v>
      </c>
      <c r="B8" s="79" t="s">
        <v>197</v>
      </c>
      <c r="C8" s="80" t="s">
        <v>208</v>
      </c>
      <c r="D8" s="81">
        <v>2.8</v>
      </c>
      <c r="E8" s="80" t="s">
        <v>208</v>
      </c>
    </row>
    <row r="9" spans="1:5" s="2" customFormat="1" ht="16.5" customHeight="1">
      <c r="A9" s="78">
        <v>7</v>
      </c>
      <c r="B9" s="79" t="s">
        <v>197</v>
      </c>
      <c r="C9" s="79" t="s">
        <v>209</v>
      </c>
      <c r="D9" s="81">
        <v>3.3</v>
      </c>
      <c r="E9" s="80" t="s">
        <v>210</v>
      </c>
    </row>
    <row r="10" spans="1:5" s="2" customFormat="1" ht="16.5" customHeight="1">
      <c r="A10" s="78">
        <v>8</v>
      </c>
      <c r="B10" s="79" t="s">
        <v>197</v>
      </c>
      <c r="C10" s="79" t="s">
        <v>211</v>
      </c>
      <c r="D10" s="81">
        <v>2.4</v>
      </c>
      <c r="E10" s="80" t="s">
        <v>212</v>
      </c>
    </row>
    <row r="11" spans="1:5" s="2" customFormat="1" ht="16.5" customHeight="1">
      <c r="A11" s="78">
        <v>9</v>
      </c>
      <c r="B11" s="79" t="s">
        <v>197</v>
      </c>
      <c r="C11" s="79" t="s">
        <v>213</v>
      </c>
      <c r="D11" s="81">
        <v>0.4</v>
      </c>
      <c r="E11" s="80" t="s">
        <v>214</v>
      </c>
    </row>
    <row r="12" spans="1:5" s="2" customFormat="1" ht="16.5" customHeight="1">
      <c r="A12" s="78">
        <v>10</v>
      </c>
      <c r="B12" s="79" t="s">
        <v>215</v>
      </c>
      <c r="C12" s="80" t="s">
        <v>56</v>
      </c>
      <c r="D12" s="81">
        <v>6.8</v>
      </c>
      <c r="E12" s="80" t="s">
        <v>198</v>
      </c>
    </row>
    <row r="13" spans="1:5" s="2" customFormat="1" ht="16.5" customHeight="1">
      <c r="A13" s="78">
        <v>11</v>
      </c>
      <c r="B13" s="79" t="s">
        <v>215</v>
      </c>
      <c r="C13" s="80" t="s">
        <v>199</v>
      </c>
      <c r="D13" s="81">
        <v>4</v>
      </c>
      <c r="E13" s="80" t="s">
        <v>200</v>
      </c>
    </row>
    <row r="14" spans="1:5" s="2" customFormat="1" ht="16.5" customHeight="1">
      <c r="A14" s="78">
        <v>12</v>
      </c>
      <c r="B14" s="79" t="s">
        <v>215</v>
      </c>
      <c r="C14" s="80" t="s">
        <v>203</v>
      </c>
      <c r="D14" s="81">
        <v>6.2</v>
      </c>
      <c r="E14" s="79" t="s">
        <v>204</v>
      </c>
    </row>
    <row r="15" spans="1:5" s="2" customFormat="1" ht="16.5" customHeight="1">
      <c r="A15" s="78">
        <v>13</v>
      </c>
      <c r="B15" s="79" t="s">
        <v>215</v>
      </c>
      <c r="C15" s="80" t="s">
        <v>205</v>
      </c>
      <c r="D15" s="81">
        <v>3.7</v>
      </c>
      <c r="E15" s="80" t="s">
        <v>206</v>
      </c>
    </row>
    <row r="16" spans="1:5" s="2" customFormat="1" ht="15" customHeight="1">
      <c r="A16" s="78">
        <v>14</v>
      </c>
      <c r="B16" s="79" t="s">
        <v>215</v>
      </c>
      <c r="C16" s="80" t="s">
        <v>207</v>
      </c>
      <c r="D16" s="81">
        <v>5.8</v>
      </c>
      <c r="E16" s="80" t="s">
        <v>207</v>
      </c>
    </row>
    <row r="17" spans="1:5" s="2" customFormat="1" ht="15" customHeight="1">
      <c r="A17" s="78">
        <v>15</v>
      </c>
      <c r="B17" s="79" t="s">
        <v>215</v>
      </c>
      <c r="C17" s="80" t="s">
        <v>208</v>
      </c>
      <c r="D17" s="81">
        <v>2.8</v>
      </c>
      <c r="E17" s="80" t="s">
        <v>208</v>
      </c>
    </row>
    <row r="18" spans="1:5" s="2" customFormat="1" ht="16.5" customHeight="1">
      <c r="A18" s="78">
        <v>16</v>
      </c>
      <c r="B18" s="79" t="s">
        <v>215</v>
      </c>
      <c r="C18" s="79" t="s">
        <v>209</v>
      </c>
      <c r="D18" s="81">
        <v>3.3</v>
      </c>
      <c r="E18" s="80" t="s">
        <v>210</v>
      </c>
    </row>
    <row r="19" spans="1:5" s="2" customFormat="1" ht="16.5" customHeight="1">
      <c r="A19" s="78">
        <v>17</v>
      </c>
      <c r="B19" s="79" t="s">
        <v>215</v>
      </c>
      <c r="C19" s="79" t="s">
        <v>211</v>
      </c>
      <c r="D19" s="81">
        <v>2.4</v>
      </c>
      <c r="E19" s="80" t="s">
        <v>212</v>
      </c>
    </row>
    <row r="20" spans="1:5" s="2" customFormat="1" ht="16.5" customHeight="1">
      <c r="A20" s="78">
        <v>18</v>
      </c>
      <c r="B20" s="79" t="s">
        <v>215</v>
      </c>
      <c r="C20" s="79" t="s">
        <v>213</v>
      </c>
      <c r="D20" s="81">
        <v>0.4</v>
      </c>
      <c r="E20" s="80" t="s">
        <v>214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"/>
  <sheetViews>
    <sheetView workbookViewId="0">
      <selection activeCell="G14" sqref="G14"/>
    </sheetView>
  </sheetViews>
  <sheetFormatPr defaultColWidth="8.6328125" defaultRowHeight="12.5"/>
  <cols>
    <col min="1" max="1" width="7" style="1" customWidth="1"/>
    <col min="2" max="2" width="10" style="1" customWidth="1"/>
    <col min="3" max="3" width="18" style="1" customWidth="1"/>
    <col min="4" max="4" width="16" style="1" customWidth="1"/>
    <col min="5" max="5" width="12" style="1" customWidth="1"/>
    <col min="6" max="6" width="16" style="1" customWidth="1"/>
    <col min="7" max="8" width="14" style="1" customWidth="1"/>
    <col min="9" max="9" width="18" style="1" customWidth="1"/>
    <col min="10" max="11" width="16" style="1" customWidth="1"/>
  </cols>
  <sheetData>
    <row r="1" spans="1:11" s="2" customFormat="1" ht="15" customHeight="1">
      <c r="A1" s="75" t="s">
        <v>156</v>
      </c>
      <c r="B1" s="75" t="s">
        <v>216</v>
      </c>
      <c r="C1" s="75" t="s">
        <v>217</v>
      </c>
      <c r="D1" s="75" t="s">
        <v>218</v>
      </c>
      <c r="E1" s="75" t="s">
        <v>219</v>
      </c>
      <c r="F1" s="75" t="s">
        <v>220</v>
      </c>
      <c r="G1" s="75" t="s">
        <v>221</v>
      </c>
      <c r="H1" s="75" t="s">
        <v>222</v>
      </c>
      <c r="I1" s="75" t="s">
        <v>196</v>
      </c>
      <c r="J1" s="75" t="s">
        <v>223</v>
      </c>
      <c r="K1" s="75" t="s">
        <v>224</v>
      </c>
    </row>
    <row r="2" spans="1:11" s="2" customFormat="1" ht="16.5" customHeight="1">
      <c r="A2" s="78">
        <v>0</v>
      </c>
      <c r="B2" s="79" t="s">
        <v>225</v>
      </c>
      <c r="C2" s="80" t="s">
        <v>226</v>
      </c>
      <c r="D2" s="80" t="s">
        <v>40</v>
      </c>
      <c r="E2" s="81">
        <v>300</v>
      </c>
      <c r="F2" s="81">
        <v>2600</v>
      </c>
      <c r="G2" s="82">
        <v>780000</v>
      </c>
      <c r="H2" s="81">
        <v>0.88</v>
      </c>
      <c r="I2" s="80" t="s">
        <v>227</v>
      </c>
      <c r="J2" s="80" t="s">
        <v>40</v>
      </c>
      <c r="K2" s="79" t="s">
        <v>36</v>
      </c>
    </row>
    <row r="3" spans="1:11" s="2" customFormat="1" ht="16.5" customHeight="1">
      <c r="A3" s="78">
        <v>1</v>
      </c>
      <c r="B3" s="79" t="s">
        <v>225</v>
      </c>
      <c r="C3" s="80" t="s">
        <v>226</v>
      </c>
      <c r="D3" s="80" t="s">
        <v>228</v>
      </c>
      <c r="E3" s="81">
        <v>500</v>
      </c>
      <c r="F3" s="81">
        <v>2400</v>
      </c>
      <c r="G3" s="82">
        <v>1200000</v>
      </c>
      <c r="H3" s="81">
        <v>0.9</v>
      </c>
      <c r="I3" s="80" t="s">
        <v>227</v>
      </c>
      <c r="J3" s="80" t="s">
        <v>228</v>
      </c>
      <c r="K3" s="80" t="s">
        <v>229</v>
      </c>
    </row>
    <row r="4" spans="1:11" s="2" customFormat="1" ht="16.5" customHeight="1">
      <c r="A4" s="78">
        <v>2</v>
      </c>
      <c r="B4" s="79" t="s">
        <v>225</v>
      </c>
      <c r="C4" s="80" t="s">
        <v>230</v>
      </c>
      <c r="D4" s="80" t="s">
        <v>30</v>
      </c>
      <c r="E4" s="81">
        <v>800</v>
      </c>
      <c r="F4" s="81">
        <v>2200</v>
      </c>
      <c r="G4" s="82">
        <v>1760000</v>
      </c>
      <c r="H4" s="81">
        <v>0.9</v>
      </c>
      <c r="I4" s="80" t="s">
        <v>227</v>
      </c>
      <c r="J4" s="80" t="s">
        <v>30</v>
      </c>
      <c r="K4" s="80" t="s">
        <v>41</v>
      </c>
    </row>
    <row r="5" spans="1:11" s="2" customFormat="1" ht="16.5" customHeight="1">
      <c r="A5" s="78">
        <v>3</v>
      </c>
      <c r="B5" s="79" t="s">
        <v>225</v>
      </c>
      <c r="C5" s="80" t="s">
        <v>230</v>
      </c>
      <c r="D5" s="80" t="s">
        <v>231</v>
      </c>
      <c r="E5" s="81">
        <v>1200</v>
      </c>
      <c r="F5" s="81">
        <v>2100</v>
      </c>
      <c r="G5" s="82">
        <v>2520000</v>
      </c>
      <c r="H5" s="81">
        <v>0.91</v>
      </c>
      <c r="I5" s="80" t="s">
        <v>232</v>
      </c>
      <c r="J5" s="80" t="s">
        <v>231</v>
      </c>
      <c r="K5" s="80" t="s">
        <v>35</v>
      </c>
    </row>
    <row r="6" spans="1:11" s="2" customFormat="1" ht="16.5" customHeight="1">
      <c r="A6" s="78">
        <v>4</v>
      </c>
      <c r="B6" s="79" t="s">
        <v>233</v>
      </c>
      <c r="C6" s="79" t="s">
        <v>234</v>
      </c>
      <c r="D6" s="79" t="s">
        <v>36</v>
      </c>
      <c r="E6" s="81">
        <v>100</v>
      </c>
      <c r="F6" s="81">
        <v>14000</v>
      </c>
      <c r="G6" s="82">
        <v>1400000</v>
      </c>
      <c r="H6" s="81">
        <v>3.5</v>
      </c>
      <c r="I6" s="80" t="s">
        <v>235</v>
      </c>
      <c r="J6" s="79"/>
      <c r="K6" s="79"/>
    </row>
    <row r="7" spans="1:11" s="2" customFormat="1" ht="16.5" customHeight="1">
      <c r="A7" s="78">
        <v>5</v>
      </c>
      <c r="B7" s="79" t="s">
        <v>233</v>
      </c>
      <c r="C7" s="80" t="s">
        <v>236</v>
      </c>
      <c r="D7" s="80" t="s">
        <v>229</v>
      </c>
      <c r="E7" s="81">
        <v>200</v>
      </c>
      <c r="F7" s="81">
        <v>11000</v>
      </c>
      <c r="G7" s="82">
        <v>2200000</v>
      </c>
      <c r="H7" s="81">
        <v>3.8</v>
      </c>
      <c r="I7" s="80" t="s">
        <v>237</v>
      </c>
      <c r="J7" s="79"/>
      <c r="K7" s="79"/>
    </row>
    <row r="8" spans="1:11" s="2" customFormat="1" ht="16.5" customHeight="1">
      <c r="A8" s="78">
        <v>6</v>
      </c>
      <c r="B8" s="79" t="s">
        <v>233</v>
      </c>
      <c r="C8" s="80" t="s">
        <v>236</v>
      </c>
      <c r="D8" s="80" t="s">
        <v>41</v>
      </c>
      <c r="E8" s="81">
        <v>400</v>
      </c>
      <c r="F8" s="81">
        <v>9500</v>
      </c>
      <c r="G8" s="82">
        <v>3800000</v>
      </c>
      <c r="H8" s="81">
        <v>4</v>
      </c>
      <c r="I8" s="80" t="s">
        <v>237</v>
      </c>
      <c r="J8" s="79"/>
      <c r="K8" s="79"/>
    </row>
    <row r="9" spans="1:11" s="2" customFormat="1" ht="16.5" customHeight="1">
      <c r="A9" s="78">
        <v>7</v>
      </c>
      <c r="B9" s="79" t="s">
        <v>233</v>
      </c>
      <c r="C9" s="80" t="s">
        <v>236</v>
      </c>
      <c r="D9" s="80" t="s">
        <v>35</v>
      </c>
      <c r="E9" s="81">
        <v>600</v>
      </c>
      <c r="F9" s="81">
        <v>9000</v>
      </c>
      <c r="G9" s="82">
        <v>5400000</v>
      </c>
      <c r="H9" s="81">
        <v>4.0999999999999996</v>
      </c>
      <c r="I9" s="80" t="s">
        <v>238</v>
      </c>
      <c r="J9" s="79"/>
      <c r="K9" s="79"/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11" sqref="B11"/>
    </sheetView>
  </sheetViews>
  <sheetFormatPr defaultColWidth="8.6328125" defaultRowHeight="12.5"/>
  <cols>
    <col min="1" max="1" width="7" style="1" customWidth="1"/>
    <col min="2" max="2" width="20" style="1" customWidth="1"/>
    <col min="3" max="3" width="12" style="1" customWidth="1"/>
    <col min="4" max="4" width="10" style="1" customWidth="1"/>
    <col min="5" max="5" width="15" style="1" customWidth="1"/>
    <col min="6" max="8" width="18" style="1" customWidth="1"/>
  </cols>
  <sheetData>
    <row r="1" spans="1:8" s="2" customFormat="1" ht="30" customHeight="1">
      <c r="A1" s="1"/>
      <c r="B1" s="75" t="s">
        <v>239</v>
      </c>
      <c r="C1" s="75" t="s">
        <v>240</v>
      </c>
      <c r="D1" s="75" t="s">
        <v>241</v>
      </c>
      <c r="E1" s="152" t="s">
        <v>242</v>
      </c>
      <c r="F1" s="152" t="s">
        <v>243</v>
      </c>
      <c r="G1" s="152" t="s">
        <v>244</v>
      </c>
      <c r="H1" s="153" t="s">
        <v>254</v>
      </c>
    </row>
    <row r="2" spans="1:8" s="2" customFormat="1" ht="16.5" customHeight="1">
      <c r="A2" s="1"/>
      <c r="B2" s="79" t="s">
        <v>46</v>
      </c>
      <c r="C2" s="81">
        <v>16</v>
      </c>
      <c r="D2" s="80" t="s">
        <v>245</v>
      </c>
      <c r="E2" s="81">
        <v>9.94</v>
      </c>
      <c r="F2" s="81">
        <v>1.6096579476861199</v>
      </c>
      <c r="G2" s="81">
        <v>0.20200000000000001</v>
      </c>
      <c r="H2" s="79" t="s">
        <v>246</v>
      </c>
    </row>
    <row r="3" spans="1:8" s="2" customFormat="1" ht="16.5" customHeight="1">
      <c r="A3" s="1"/>
      <c r="B3" s="79" t="s">
        <v>247</v>
      </c>
      <c r="C3" s="81">
        <v>36</v>
      </c>
      <c r="D3" s="80" t="s">
        <v>248</v>
      </c>
      <c r="E3" s="81">
        <v>12.8</v>
      </c>
      <c r="F3" s="81">
        <v>2.8125</v>
      </c>
      <c r="G3" s="81">
        <v>0.23</v>
      </c>
      <c r="H3" s="79" t="s">
        <v>246</v>
      </c>
    </row>
    <row r="4" spans="1:8" s="2" customFormat="1" ht="16.5" customHeight="1">
      <c r="A4" s="1"/>
      <c r="B4" s="79" t="s">
        <v>249</v>
      </c>
      <c r="C4" s="81">
        <v>29</v>
      </c>
      <c r="D4" s="80" t="s">
        <v>250</v>
      </c>
      <c r="E4" s="81">
        <v>10</v>
      </c>
      <c r="F4" s="81">
        <v>2.9</v>
      </c>
      <c r="G4" s="81">
        <v>0.26700000000000002</v>
      </c>
      <c r="H4" s="79" t="s">
        <v>246</v>
      </c>
    </row>
    <row r="5" spans="1:8" s="2" customFormat="1" ht="16.5" customHeight="1">
      <c r="A5" s="1"/>
      <c r="B5" s="79" t="s">
        <v>251</v>
      </c>
      <c r="C5" s="81">
        <v>24</v>
      </c>
      <c r="D5" s="80" t="s">
        <v>250</v>
      </c>
      <c r="E5" s="81">
        <v>10.7</v>
      </c>
      <c r="F5" s="81">
        <v>2.2429906542056099</v>
      </c>
      <c r="G5" s="81">
        <v>0.27900000000000003</v>
      </c>
      <c r="H5" s="79" t="s">
        <v>246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具名範圍</vt:lpstr>
      </vt:variant>
      <vt:variant>
        <vt:i4>3</vt:i4>
      </vt:variant>
    </vt:vector>
  </HeadingPairs>
  <TitlesOfParts>
    <vt:vector size="12" baseType="lpstr">
      <vt:lpstr>說明</vt:lpstr>
      <vt:lpstr>輸入</vt:lpstr>
      <vt:lpstr>計算</vt:lpstr>
      <vt:lpstr>彙總</vt:lpstr>
      <vt:lpstr>儀錶板</vt:lpstr>
      <vt:lpstr>氣象查表</vt:lpstr>
      <vt:lpstr>u值查表</vt:lpstr>
      <vt:lpstr>設備查表</vt:lpstr>
      <vt:lpstr>燃料查表</vt:lpstr>
      <vt:lpstr>COPmax</vt:lpstr>
      <vt:lpstr>COPmin</vt:lpstr>
      <vt:lpstr>COPslope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FangWei</cp:lastModifiedBy>
  <dcterms:modified xsi:type="dcterms:W3CDTF">2026-04-17T04:35:53Z</dcterms:modified>
</cp:coreProperties>
</file>