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D:\html\class-GE&amp;GPE\downloads\"/>
    </mc:Choice>
  </mc:AlternateContent>
  <xr:revisionPtr revIDLastSave="0" documentId="13_ncr:1_{6BB00D83-FA66-4B16-A49A-A80545F51C3C}" xr6:coauthVersionLast="36" xr6:coauthVersionMax="36" xr10:uidLastSave="{00000000-0000-0000-0000-000000000000}"/>
  <bookViews>
    <workbookView xWindow="0" yWindow="0" windowWidth="19200" windowHeight="6760" activeTab="4" xr2:uid="{00000000-000D-0000-FFFF-FFFF00000000}"/>
  </bookViews>
  <sheets>
    <sheet name="Model" sheetId="1" r:id="rId1"/>
    <sheet name="Batch" sheetId="5" r:id="rId2"/>
    <sheet name="Materials" sheetId="2" r:id="rId3"/>
    <sheet name="Notes" sheetId="3" r:id="rId4"/>
    <sheet name="VETH圖" sheetId="4" r:id="rId5"/>
  </sheets>
  <calcPr calcId="191029" iterateDelta="1E-4"/>
</workbook>
</file>

<file path=xl/calcChain.xml><?xml version="1.0" encoding="utf-8"?>
<calcChain xmlns="http://schemas.openxmlformats.org/spreadsheetml/2006/main">
  <c r="C13" i="4" l="1"/>
  <c r="C12" i="4"/>
  <c r="B13" i="4"/>
  <c r="B12" i="4"/>
  <c r="S5" i="5"/>
  <c r="Q5" i="5"/>
  <c r="O5" i="5"/>
  <c r="S2" i="5" l="1"/>
  <c r="Q2" i="5"/>
  <c r="O2" i="5"/>
  <c r="B6" i="4"/>
  <c r="C4" i="4"/>
  <c r="B4" i="4"/>
  <c r="J23" i="1"/>
  <c r="J22" i="1"/>
  <c r="J24" i="1" s="1"/>
  <c r="J19" i="1"/>
  <c r="J20" i="1" s="1"/>
  <c r="J21" i="1" s="1"/>
  <c r="J18" i="1"/>
  <c r="J39" i="1" s="1"/>
  <c r="J17" i="1"/>
  <c r="B13" i="1"/>
  <c r="J12" i="1" s="1"/>
  <c r="B11" i="1"/>
  <c r="J11" i="1" s="1"/>
  <c r="J13" i="1" s="1"/>
  <c r="J10" i="1"/>
  <c r="J9" i="1"/>
  <c r="J8" i="1"/>
  <c r="J7" i="1"/>
  <c r="J6" i="1"/>
  <c r="J5" i="1"/>
  <c r="G39" i="1" l="1"/>
  <c r="J40" i="1" s="1"/>
  <c r="J14" i="1"/>
  <c r="J15" i="1" s="1"/>
  <c r="J16" i="1" s="1"/>
  <c r="J33" i="1" s="1"/>
  <c r="C41" i="1" s="1"/>
  <c r="J27" i="1"/>
  <c r="C37" i="1"/>
  <c r="J25" i="1"/>
  <c r="J26" i="1" s="1"/>
  <c r="C38" i="1"/>
  <c r="C42" i="1"/>
  <c r="C47" i="1"/>
  <c r="J34" i="1" l="1"/>
  <c r="J28" i="1"/>
  <c r="J29" i="1" s="1"/>
  <c r="J30" i="1" s="1"/>
  <c r="J31" i="1"/>
  <c r="C39" i="1" l="1"/>
  <c r="C6" i="4"/>
  <c r="J32" i="1"/>
  <c r="J35" i="1" s="1"/>
  <c r="C40" i="1"/>
  <c r="C43" i="1"/>
  <c r="B5" i="4"/>
  <c r="J38" i="1"/>
  <c r="J37" i="1"/>
  <c r="G37" i="1" s="1"/>
  <c r="C46" i="1" l="1"/>
  <c r="G38" i="1"/>
  <c r="C45" i="1"/>
  <c r="J41" i="1"/>
  <c r="C48" i="1" s="1"/>
  <c r="I1" i="4"/>
  <c r="I2" i="4"/>
  <c r="J42" i="1"/>
  <c r="J36" i="1"/>
  <c r="H7" i="4" l="1"/>
  <c r="H8" i="4"/>
  <c r="C5" i="4"/>
  <c r="C44" i="1"/>
  <c r="H10" i="4"/>
  <c r="H9" i="4"/>
  <c r="I4" i="4" l="1"/>
  <c r="I3" i="4"/>
  <c r="I7" i="4" l="1"/>
  <c r="I9" i="4"/>
  <c r="I10" i="4"/>
  <c r="I8" i="4"/>
</calcChain>
</file>

<file path=xl/sharedStrings.xml><?xml version="1.0" encoding="utf-8"?>
<sst xmlns="http://schemas.openxmlformats.org/spreadsheetml/2006/main" count="365" uniqueCount="219">
  <si>
    <t>藍色＝使用者輸入；灰色＝可編輯常數；黑色＝公式。Rnet 請輸入外界淨輻射；實際進入值 = Rnet × (1-外遮陽比例)。</t>
  </si>
  <si>
    <t>使用者輸入</t>
  </si>
  <si>
    <t>可編輯常數</t>
  </si>
  <si>
    <t>主要輸出與輔助量</t>
  </si>
  <si>
    <t>長度 L</t>
  </si>
  <si>
    <t>m</t>
  </si>
  <si>
    <t>空氣密度 ρ</t>
  </si>
  <si>
    <t>kg/m³</t>
  </si>
  <si>
    <t>地板面積 Af</t>
  </si>
  <si>
    <t>m²</t>
  </si>
  <si>
    <t>總寬 W</t>
  </si>
  <si>
    <t>空氣定壓比熱 Cp</t>
  </si>
  <si>
    <t>J/kg/K</t>
  </si>
  <si>
    <t>單一跨寬度</t>
  </si>
  <si>
    <t>跨數 N</t>
  </si>
  <si>
    <t>-</t>
  </si>
  <si>
    <t>水的汽化潛熱 λ</t>
  </si>
  <si>
    <t>J/kg</t>
  </si>
  <si>
    <t>屋頂角度</t>
  </si>
  <si>
    <t>deg</t>
  </si>
  <si>
    <t>屋簷高</t>
  </si>
  <si>
    <t>飽和蒸氣壓係數 A</t>
  </si>
  <si>
    <t>kPa</t>
  </si>
  <si>
    <t>單側斜面長</t>
  </si>
  <si>
    <t>屋脊高差</t>
  </si>
  <si>
    <t>飽和蒸氣壓係數 B</t>
  </si>
  <si>
    <t>屋面面積 Ar</t>
  </si>
  <si>
    <t>屋頂材料</t>
  </si>
  <si>
    <t>飽和蒸氣壓係數 C</t>
  </si>
  <si>
    <t>°C</t>
  </si>
  <si>
    <t>牆面面積 Aw</t>
  </si>
  <si>
    <t>屋頂 U 值（lookup）</t>
  </si>
  <si>
    <t>W/m²·K</t>
  </si>
  <si>
    <t>絕對濕度常數</t>
  </si>
  <si>
    <t>牆面材料</t>
  </si>
  <si>
    <t>單層玻璃 | Glass, single layer</t>
  </si>
  <si>
    <t>材料換算 Btu→W/m²·K</t>
  </si>
  <si>
    <t>牆面 U 值（lookup）</t>
  </si>
  <si>
    <t>屋頂 UA</t>
  </si>
  <si>
    <t>W/K</t>
  </si>
  <si>
    <t>室外溫度 To</t>
  </si>
  <si>
    <t>牆面 UA</t>
  </si>
  <si>
    <t>室外相對溼度 Ho</t>
  </si>
  <si>
    <t>%</t>
  </si>
  <si>
    <t>總 UA</t>
  </si>
  <si>
    <t>換氣量 V</t>
  </si>
  <si>
    <t>m³/m²/min</t>
  </si>
  <si>
    <t>單位地板面積 UA</t>
  </si>
  <si>
    <t>W/m²/K</t>
  </si>
  <si>
    <t>蒸發蒸散量 E</t>
  </si>
  <si>
    <t>g/m²/min</t>
  </si>
  <si>
    <t>單位地板通風量 G</t>
  </si>
  <si>
    <t>m/s</t>
  </si>
  <si>
    <t>外遮陽比例</t>
  </si>
  <si>
    <t>單位地板蒸散量 E</t>
  </si>
  <si>
    <t>kg/m²/s</t>
  </si>
  <si>
    <t>濕簾效率</t>
  </si>
  <si>
    <t>外氣飽和蒸氣壓 es(To)</t>
  </si>
  <si>
    <t>外界淨輻射 Rnet</t>
  </si>
  <si>
    <t>W/m²（地板）</t>
  </si>
  <si>
    <t>外氣實際水汽壓 eo</t>
  </si>
  <si>
    <t>大氣壓 P</t>
  </si>
  <si>
    <t>外氣絕對濕度 xo</t>
  </si>
  <si>
    <t>kg/kg_da</t>
  </si>
  <si>
    <t>提示</t>
  </si>
  <si>
    <t>外氣濕球溫度 Twb</t>
  </si>
  <si>
    <t>實際進入淨輻射</t>
  </si>
  <si>
    <t>W/m²</t>
  </si>
  <si>
    <t>室內絕對濕度 xi</t>
  </si>
  <si>
    <t>室內實際水汽壓 ei</t>
  </si>
  <si>
    <t>總顯熱散失係數 S</t>
  </si>
  <si>
    <t>最終 Ti</t>
  </si>
  <si>
    <t>室內相對溼度 RHi（raw）</t>
  </si>
  <si>
    <t>項目</t>
  </si>
  <si>
    <t>公式 / 說明</t>
  </si>
  <si>
    <t>結果</t>
  </si>
  <si>
    <t>單位</t>
  </si>
  <si>
    <t>1. 外氣絕對濕度 xo</t>
  </si>
  <si>
    <t>xo = 0.622·eo/(P-eo)</t>
  </si>
  <si>
    <t>2. 進風溫度 Tinlet</t>
  </si>
  <si>
    <t>Tinlet = To - ηpad·(To-Twb,o)；ηpad=0 時 Tinlet=To</t>
  </si>
  <si>
    <t>3. 進風相對溼度 RHinlet</t>
  </si>
  <si>
    <t>由 Tinlet 與等焓近似求 xinlet，再反算 RHinlet</t>
  </si>
  <si>
    <t>通風顯熱 q_vent</t>
  </si>
  <si>
    <t>4. 室內絕對濕度 xi</t>
  </si>
  <si>
    <t>xi = xinlet + E/(ρG)</t>
  </si>
  <si>
    <t>5. 顯熱散失係數 S</t>
  </si>
  <si>
    <t>S = ρCpG + UA/Af</t>
  </si>
  <si>
    <t>6. 實際進入淨輻射</t>
  </si>
  <si>
    <t>Rnet,eff = Rnet × (1-外遮陽比例)</t>
  </si>
  <si>
    <t>7. 室內溫度 Ti</t>
  </si>
  <si>
    <t>Ti = (Rnet,eff-λE + ρCpG·Tinlet + UA/Af·To) / S</t>
  </si>
  <si>
    <t>能量平衡殘差</t>
  </si>
  <si>
    <t>8. 室內相對濕度 RHi</t>
  </si>
  <si>
    <t>RHi = ei / es(Ti)</t>
  </si>
  <si>
    <t>警示</t>
  </si>
  <si>
    <t>9. 圍護散熱</t>
  </si>
  <si>
    <t>q_cond = (UA/Af)(Ti-To)</t>
  </si>
  <si>
    <t>10. 通風顯熱</t>
  </si>
  <si>
    <t>q_vent = ρCpG(Ti-Tinlet)</t>
  </si>
  <si>
    <t>11. 蒸散潛熱</t>
  </si>
  <si>
    <t>q_latent = λE</t>
  </si>
  <si>
    <t>12. 能量平衡殘差</t>
  </si>
  <si>
    <t>Rnet,eff - q_cond - q_vent - q_latent</t>
  </si>
  <si>
    <t>屋頂材料查表（常用溫室覆蓋材料）</t>
  </si>
  <si>
    <t>牆面材料查表（常用溫室圍護材料）</t>
  </si>
  <si>
    <t>材料</t>
  </si>
  <si>
    <t>U值 (Btu/h·ft²·°F)</t>
  </si>
  <si>
    <t>U值 (W/m²·K)</t>
  </si>
  <si>
    <t>類型</t>
  </si>
  <si>
    <t>來源註記</t>
  </si>
  <si>
    <t>來源 URL</t>
  </si>
  <si>
    <t>Glazing</t>
  </si>
  <si>
    <t>Cornell Table 1-2</t>
  </si>
  <si>
    <t>https://ecommons.cornell.edu/server/api/core/bitstreams/94296529-4b0f-458f-ad91-f3a5cce811f5/content</t>
  </si>
  <si>
    <t>Glazed wall</t>
  </si>
  <si>
    <t>雙層玻璃（1/4 in 空氣層） | Glass, double layer, 1/4 in space</t>
  </si>
  <si>
    <t>三層玻璃（1/4 in 空氣層） | Glass, triple layer, 1/4 in space</t>
  </si>
  <si>
    <t>Film</t>
  </si>
  <si>
    <t>Film over glass</t>
  </si>
  <si>
    <t>Rigid glazing</t>
  </si>
  <si>
    <t>8 吋混凝土空心磚 | Concrete block, 8 inches</t>
  </si>
  <si>
    <t>Opaque wall</t>
  </si>
  <si>
    <t>Cornell Table 1-2 upper-bound</t>
  </si>
  <si>
    <t>8 吋混凝土空心磚 + 2 吋保麗龍 | Concrete block, 8 inches + 2 inches foamed polystyrene</t>
  </si>
  <si>
    <t>1/2 吋夾板 | Plywood, 1/2 inch</t>
  </si>
  <si>
    <t>6 吋澆置混凝土 | Concrete, poured, 6 inches</t>
  </si>
  <si>
    <t>空心磚/夾板 + 1 吋發泡聚氨酯 | Concrete block or plywood + 1 inch foamed urethane</t>
  </si>
  <si>
    <t>空心磚/夾板 + 1 吋聚苯乙烯珠粒 | Concrete block or plywood + 1 inch polystyrene beads</t>
  </si>
  <si>
    <t>1/2 吋水泥/礦纖板 | Cement/mineral fiberboard, 1/2 inch</t>
  </si>
  <si>
    <t>換算</t>
  </si>
  <si>
    <t>1 Btu/h·ft²·°F = 5.678263 W/m²·K</t>
  </si>
  <si>
    <t>1/2 吋水泥/礦纖板 + 2 吋保麗龍 | Cement/mineral fiberboard, 1/2 inch + 2 inches foamed polystyrene</t>
  </si>
  <si>
    <t>1.5 吋膨脹聚苯乙烯夾鋁皮板 | Expanded polystyrene, 1.5 inches, aluminum skin both sides</t>
  </si>
  <si>
    <t>工作簿說明與 VETH 假設</t>
  </si>
  <si>
    <t>內容</t>
  </si>
  <si>
    <t>如何使用</t>
  </si>
  <si>
    <t>在 Model 頁修改藍色輸入欄位；屋頂與牆面材料以下拉選單選擇，U 值由 lookup table 自動帶入。外遮陽比例請以實際進入比例輸入，濕簾效率輸入 0–100%。</t>
  </si>
  <si>
    <t>理論版本</t>
  </si>
  <si>
    <t>水汽平衡</t>
  </si>
  <si>
    <t>能量平衡</t>
  </si>
  <si>
    <t>T_i = (Rnet,eff - λE + ρCpG·T_inlet + UA/Af·T_o) / (ρCpG + UA/Af)。傳導項仍以室外 To 計算。</t>
  </si>
  <si>
    <t>濕空氣關係</t>
  </si>
  <si>
    <t>Rnet 與外遮陽</t>
  </si>
  <si>
    <t>牆面面積</t>
  </si>
  <si>
    <t>A_w = 2LH_e + 2WH_e + 2N[(W/N)·h_r/2]。</t>
  </si>
  <si>
    <t>材料表來源</t>
  </si>
  <si>
    <t>Cornell Energy Conservation for Commercial Greenhouses, Table 1-2；來源 URL 見 Materials 表。</t>
  </si>
  <si>
    <t>VETH 圖</t>
  </si>
  <si>
    <t>X下限</t>
  </si>
  <si>
    <t>點位資料</t>
  </si>
  <si>
    <t>X上限</t>
  </si>
  <si>
    <t>點位</t>
  </si>
  <si>
    <t>溫度 T (°C)</t>
  </si>
  <si>
    <t>相對溼度 RH (%)</t>
  </si>
  <si>
    <t>Y下限</t>
  </si>
  <si>
    <t>Y上限</t>
  </si>
  <si>
    <t>邊界X</t>
  </si>
  <si>
    <t>邊界Y</t>
  </si>
  <si>
    <t>圖形說明</t>
  </si>
  <si>
    <t>* 室外點 (To, RHo)</t>
  </si>
  <si>
    <t>+ 室內點 (Ti, RHi)</t>
  </si>
  <si>
    <r>
      <rPr>
        <sz val="11"/>
        <color theme="1"/>
        <rFont val="微軟正黑體"/>
        <family val="2"/>
        <charset val="136"/>
      </rPr>
      <t>顯示</t>
    </r>
    <r>
      <rPr>
        <sz val="11"/>
        <color theme="1"/>
        <rFont val="Noto Sans CJK SC"/>
        <family val="2"/>
      </rPr>
      <t xml:space="preserve"> RH</t>
    </r>
    <r>
      <rPr>
        <sz val="11"/>
        <color theme="1"/>
        <rFont val="微軟正黑體"/>
        <family val="2"/>
        <charset val="136"/>
      </rPr>
      <t>（封頂）</t>
    </r>
    <phoneticPr fontId="11" type="noConversion"/>
  </si>
  <si>
    <r>
      <rPr>
        <sz val="11"/>
        <color theme="1"/>
        <rFont val="微軟正黑體"/>
        <family val="2"/>
        <charset val="136"/>
      </rPr>
      <t>顯示潛熱比例</t>
    </r>
    <r>
      <rPr>
        <sz val="11"/>
        <color theme="1"/>
        <rFont val="Noto Sans CJK SC"/>
        <family val="2"/>
      </rPr>
      <t>（封頂）</t>
    </r>
    <phoneticPr fontId="11" type="noConversion"/>
  </si>
  <si>
    <r>
      <t xml:space="preserve">X </t>
    </r>
    <r>
      <rPr>
        <sz val="12"/>
        <color theme="1"/>
        <rFont val="微軟正黑體"/>
        <family val="2"/>
        <charset val="136"/>
      </rPr>
      <t>軸：溫度；</t>
    </r>
    <r>
      <rPr>
        <sz val="12"/>
        <color theme="1"/>
        <rFont val="Calibri"/>
        <family val="2"/>
      </rPr>
      <t xml:space="preserve">Y </t>
    </r>
    <r>
      <rPr>
        <sz val="12"/>
        <color theme="1"/>
        <rFont val="微軟正黑體"/>
        <family val="2"/>
        <charset val="136"/>
      </rPr>
      <t>軸：相對溼度（資料將隨</t>
    </r>
    <r>
      <rPr>
        <sz val="12"/>
        <color theme="1"/>
        <rFont val="Calibri"/>
        <family val="2"/>
      </rPr>
      <t xml:space="preserve"> Model </t>
    </r>
    <r>
      <rPr>
        <sz val="12"/>
        <color theme="1"/>
        <rFont val="微軟正黑體"/>
        <family val="2"/>
        <charset val="136"/>
      </rPr>
      <t>頁結果更新）。濕簾效率</t>
    </r>
    <r>
      <rPr>
        <sz val="12"/>
        <color theme="1"/>
        <rFont val="Calibri"/>
        <family val="2"/>
      </rPr>
      <t xml:space="preserve"> &gt; 0% </t>
    </r>
    <r>
      <rPr>
        <sz val="12"/>
        <color theme="1"/>
        <rFont val="微軟正黑體"/>
        <family val="2"/>
        <charset val="136"/>
      </rPr>
      <t>時，圖中會另顯示濕簾後進風點。</t>
    </r>
    <phoneticPr fontId="11" type="noConversion"/>
  </si>
  <si>
    <t>室外</t>
    <phoneticPr fontId="11" type="noConversion"/>
  </si>
  <si>
    <t>室內</t>
    <phoneticPr fontId="11" type="noConversion"/>
  </si>
  <si>
    <t>濕簾後</t>
    <phoneticPr fontId="11" type="noConversion"/>
  </si>
  <si>
    <r>
      <rPr>
        <sz val="11"/>
        <color theme="1"/>
        <rFont val="微軟正黑體"/>
        <family val="2"/>
        <charset val="136"/>
      </rPr>
      <t>單層塑膠薄膜</t>
    </r>
    <r>
      <rPr>
        <sz val="11"/>
        <color theme="1"/>
        <rFont val="Arial"/>
        <family val="2"/>
      </rPr>
      <t xml:space="preserve"> | PE or other film, single layer</t>
    </r>
    <phoneticPr fontId="11" type="noConversion"/>
  </si>
  <si>
    <r>
      <rPr>
        <sz val="11"/>
        <color theme="1"/>
        <rFont val="微軟正黑體"/>
        <family val="2"/>
        <charset val="136"/>
      </rPr>
      <t>雙層塑膠薄膜（分隔）</t>
    </r>
    <r>
      <rPr>
        <sz val="11"/>
        <color theme="1"/>
        <rFont val="Arial"/>
        <family val="2"/>
      </rPr>
      <t xml:space="preserve"> | PE or other film, double layer, separated</t>
    </r>
    <phoneticPr fontId="11" type="noConversion"/>
  </si>
  <si>
    <r>
      <rPr>
        <sz val="11"/>
        <color theme="1"/>
        <rFont val="微軟正黑體"/>
        <family val="2"/>
        <charset val="136"/>
      </rPr>
      <t>雙層</t>
    </r>
    <r>
      <rPr>
        <sz val="11"/>
        <color theme="1"/>
        <rFont val="Arial"/>
        <family val="2"/>
      </rPr>
      <t xml:space="preserve"> IR </t>
    </r>
    <r>
      <rPr>
        <sz val="11"/>
        <color theme="1"/>
        <rFont val="微軟正黑體"/>
        <family val="2"/>
        <charset val="136"/>
      </rPr>
      <t>抑制薄膜</t>
    </r>
    <r>
      <rPr>
        <sz val="11"/>
        <color theme="1"/>
        <rFont val="Arial"/>
        <family val="2"/>
      </rPr>
      <t xml:space="preserve"> | PE film, double layer, separated, IR-inhibited</t>
    </r>
    <phoneticPr fontId="11" type="noConversion"/>
  </si>
  <si>
    <r>
      <rPr>
        <sz val="11"/>
        <color theme="1"/>
        <rFont val="微軟正黑體"/>
        <family val="2"/>
        <charset val="136"/>
      </rPr>
      <t>玻璃外加雙層薄膜</t>
    </r>
    <r>
      <rPr>
        <sz val="11"/>
        <color theme="1"/>
        <rFont val="Arial"/>
        <family val="2"/>
      </rPr>
      <t xml:space="preserve"> | PE or other film, double layer, over glass</t>
    </r>
    <phoneticPr fontId="11" type="noConversion"/>
  </si>
  <si>
    <r>
      <rPr>
        <sz val="11"/>
        <color theme="1"/>
        <rFont val="微軟正黑體"/>
        <family val="2"/>
        <charset val="136"/>
      </rPr>
      <t>玻纖強化波浪板</t>
    </r>
    <r>
      <rPr>
        <sz val="11"/>
        <color theme="1"/>
        <rFont val="Arial"/>
        <family val="2"/>
      </rPr>
      <t xml:space="preserve"> | FRP, corrugated sheet</t>
    </r>
    <phoneticPr fontId="11" type="noConversion"/>
  </si>
  <si>
    <r>
      <rPr>
        <sz val="11"/>
        <color theme="1"/>
        <rFont val="微軟正黑體"/>
        <family val="2"/>
        <charset val="136"/>
      </rPr>
      <t>單層聚碳酸酯波浪板</t>
    </r>
    <r>
      <rPr>
        <sz val="11"/>
        <color theme="1"/>
        <rFont val="Arial"/>
        <family val="2"/>
      </rPr>
      <t xml:space="preserve"> | Single PC, corrugated sheet (source gives &lt;1.14 Btu/h·ft²·°F)</t>
    </r>
    <phoneticPr fontId="11" type="noConversion"/>
  </si>
  <si>
    <r>
      <rPr>
        <sz val="11"/>
        <color theme="1"/>
        <rFont val="微軟正黑體"/>
        <family val="2"/>
        <charset val="136"/>
      </rPr>
      <t>三層聚碳板</t>
    </r>
    <r>
      <rPr>
        <sz val="11"/>
        <color theme="1"/>
        <rFont val="Arial"/>
        <family val="2"/>
      </rPr>
      <t xml:space="preserve"> 8 mm | Triple PC, 8 mm</t>
    </r>
    <phoneticPr fontId="11" type="noConversion"/>
  </si>
  <si>
    <r>
      <rPr>
        <sz val="11"/>
        <color theme="1"/>
        <rFont val="微軟正黑體"/>
        <family val="2"/>
        <charset val="136"/>
      </rPr>
      <t>雙層壓克力</t>
    </r>
    <r>
      <rPr>
        <sz val="11"/>
        <color theme="1"/>
        <rFont val="Arial"/>
        <family val="2"/>
      </rPr>
      <t>/</t>
    </r>
    <r>
      <rPr>
        <sz val="11"/>
        <color theme="1"/>
        <rFont val="微軟正黑體"/>
        <family val="2"/>
        <charset val="136"/>
      </rPr>
      <t>聚碳板</t>
    </r>
    <r>
      <rPr>
        <sz val="11"/>
        <color theme="1"/>
        <rFont val="Arial"/>
        <family val="2"/>
      </rPr>
      <t xml:space="preserve"> 8 mm | Double acrylic or PC, 8 mm</t>
    </r>
    <phoneticPr fontId="11" type="noConversion"/>
  </si>
  <si>
    <t>單層塑膠薄膜 | PE or other film, single layer</t>
  </si>
  <si>
    <r>
      <t>U</t>
    </r>
    <r>
      <rPr>
        <b/>
        <sz val="11"/>
        <color rgb="FF000000"/>
        <rFont val="新細明體"/>
        <family val="1"/>
        <charset val="136"/>
      </rPr>
      <t>值</t>
    </r>
    <r>
      <rPr>
        <b/>
        <sz val="11"/>
        <color rgb="FF000000"/>
        <rFont val="Cambria"/>
        <family val="1"/>
      </rPr>
      <t xml:space="preserve"> (W/m²·K)</t>
    </r>
    <phoneticPr fontId="11" type="noConversion"/>
  </si>
  <si>
    <r>
      <rPr>
        <sz val="11"/>
        <color theme="1"/>
        <rFont val="微軟正黑體"/>
        <family val="2"/>
        <charset val="136"/>
      </rPr>
      <t>進風絕對濕度</t>
    </r>
    <r>
      <rPr>
        <sz val="11"/>
        <color theme="1"/>
        <rFont val="Arial"/>
        <family val="2"/>
      </rPr>
      <t xml:space="preserve"> x</t>
    </r>
    <r>
      <rPr>
        <vertAlign val="subscript"/>
        <sz val="11"/>
        <color theme="1"/>
        <rFont val="Arial"/>
        <family val="2"/>
      </rPr>
      <t>inlet</t>
    </r>
    <phoneticPr fontId="11" type="noConversion"/>
  </si>
  <si>
    <r>
      <rPr>
        <sz val="11"/>
        <color theme="1"/>
        <rFont val="微軟正黑體"/>
        <family val="2"/>
        <charset val="136"/>
      </rPr>
      <t>進風實際水汽壓</t>
    </r>
    <r>
      <rPr>
        <sz val="11"/>
        <color theme="1"/>
        <rFont val="Arial"/>
        <family val="2"/>
      </rPr>
      <t xml:space="preserve"> e</t>
    </r>
    <r>
      <rPr>
        <vertAlign val="subscript"/>
        <sz val="11"/>
        <color theme="1"/>
        <rFont val="Arial"/>
        <family val="2"/>
      </rPr>
      <t>inlet</t>
    </r>
    <phoneticPr fontId="11" type="noConversion"/>
  </si>
  <si>
    <r>
      <rPr>
        <sz val="11"/>
        <color theme="1"/>
        <rFont val="微軟正黑體"/>
        <family val="2"/>
        <charset val="136"/>
      </rPr>
      <t>進風相對溼度</t>
    </r>
    <r>
      <rPr>
        <sz val="11"/>
        <color theme="1"/>
        <rFont val="Arial"/>
        <family val="2"/>
      </rPr>
      <t xml:space="preserve"> RH</t>
    </r>
    <r>
      <rPr>
        <vertAlign val="subscript"/>
        <sz val="11"/>
        <color theme="1"/>
        <rFont val="Arial"/>
        <family val="2"/>
      </rPr>
      <t>inlet</t>
    </r>
    <r>
      <rPr>
        <sz val="11"/>
        <color theme="1"/>
        <rFont val="微軟正黑體"/>
        <family val="2"/>
        <charset val="136"/>
      </rPr>
      <t>（</t>
    </r>
    <r>
      <rPr>
        <sz val="11"/>
        <color theme="1"/>
        <rFont val="Arial"/>
        <family val="2"/>
      </rPr>
      <t>raw</t>
    </r>
    <r>
      <rPr>
        <sz val="11"/>
        <color theme="1"/>
        <rFont val="微軟正黑體"/>
        <family val="2"/>
        <charset val="136"/>
      </rPr>
      <t>）</t>
    </r>
    <phoneticPr fontId="11" type="noConversion"/>
  </si>
  <si>
    <r>
      <rPr>
        <sz val="11"/>
        <color theme="1"/>
        <rFont val="微軟正黑體"/>
        <family val="2"/>
        <charset val="136"/>
      </rPr>
      <t>進風相對溼度</t>
    </r>
    <r>
      <rPr>
        <sz val="11"/>
        <color theme="1"/>
        <rFont val="Arial"/>
        <family val="2"/>
      </rPr>
      <t xml:space="preserve"> RH</t>
    </r>
    <r>
      <rPr>
        <vertAlign val="subscript"/>
        <sz val="11"/>
        <color theme="1"/>
        <rFont val="Arial"/>
        <family val="2"/>
      </rPr>
      <t>inlet</t>
    </r>
    <phoneticPr fontId="11" type="noConversion"/>
  </si>
  <si>
    <r>
      <rPr>
        <sz val="11"/>
        <color theme="1"/>
        <rFont val="微軟正黑體"/>
        <family val="2"/>
        <charset val="136"/>
      </rPr>
      <t>進風飽和蒸氣壓</t>
    </r>
    <r>
      <rPr>
        <sz val="11"/>
        <color theme="1"/>
        <rFont val="Arial"/>
        <family val="2"/>
      </rPr>
      <t xml:space="preserve"> es(T</t>
    </r>
    <r>
      <rPr>
        <vertAlign val="subscript"/>
        <sz val="11"/>
        <color theme="1"/>
        <rFont val="Arial"/>
        <family val="2"/>
      </rPr>
      <t>inlet</t>
    </r>
    <r>
      <rPr>
        <sz val="11"/>
        <color theme="1"/>
        <rFont val="Arial"/>
        <family val="2"/>
      </rPr>
      <t>)</t>
    </r>
    <phoneticPr fontId="11" type="noConversion"/>
  </si>
  <si>
    <r>
      <rPr>
        <sz val="11"/>
        <color theme="1"/>
        <rFont val="微軟正黑體"/>
        <family val="2"/>
        <charset val="136"/>
      </rPr>
      <t>進風飽和絕對濕度</t>
    </r>
    <r>
      <rPr>
        <sz val="11"/>
        <color theme="1"/>
        <rFont val="Arial"/>
        <family val="2"/>
      </rPr>
      <t xml:space="preserve"> x</t>
    </r>
    <r>
      <rPr>
        <vertAlign val="subscript"/>
        <sz val="11"/>
        <color theme="1"/>
        <rFont val="Arial"/>
        <family val="2"/>
      </rPr>
      <t>sat,inlet</t>
    </r>
    <phoneticPr fontId="11" type="noConversion"/>
  </si>
  <si>
    <r>
      <rPr>
        <sz val="11"/>
        <color theme="1"/>
        <rFont val="微軟正黑體"/>
        <family val="2"/>
        <charset val="136"/>
      </rPr>
      <t>進風溫度</t>
    </r>
    <r>
      <rPr>
        <sz val="11"/>
        <color theme="1"/>
        <rFont val="Arial"/>
        <family val="2"/>
      </rPr>
      <t xml:space="preserve"> T</t>
    </r>
    <r>
      <rPr>
        <vertAlign val="subscript"/>
        <sz val="11"/>
        <color theme="1"/>
        <rFont val="Arial"/>
        <family val="2"/>
      </rPr>
      <t>inlet</t>
    </r>
    <phoneticPr fontId="11" type="noConversion"/>
  </si>
  <si>
    <r>
      <rPr>
        <sz val="11"/>
        <color theme="1"/>
        <rFont val="微軟正黑體"/>
        <family val="2"/>
        <charset val="136"/>
      </rPr>
      <t>本版採用標準</t>
    </r>
    <r>
      <rPr>
        <sz val="11"/>
        <color theme="1"/>
        <rFont val="Arial"/>
        <family val="2"/>
      </rPr>
      <t xml:space="preserve"> VETH </t>
    </r>
    <r>
      <rPr>
        <sz val="11"/>
        <color theme="1"/>
        <rFont val="微軟正黑體"/>
        <family val="2"/>
        <charset val="136"/>
      </rPr>
      <t>常數化方程，並加入外遮陽比例與濕簾效率。若有濕簾，進風狀態以</t>
    </r>
    <r>
      <rPr>
        <sz val="11"/>
        <color theme="1"/>
        <rFont val="Arial"/>
        <family val="2"/>
      </rPr>
      <t xml:space="preserve"> T</t>
    </r>
    <r>
      <rPr>
        <vertAlign val="subscript"/>
        <sz val="11"/>
        <color theme="1"/>
        <rFont val="Arial"/>
        <family val="2"/>
      </rPr>
      <t>inlet</t>
    </r>
    <r>
      <rPr>
        <sz val="11"/>
        <color theme="1"/>
        <rFont val="微軟正黑體"/>
        <family val="2"/>
        <charset val="136"/>
      </rPr>
      <t>、</t>
    </r>
    <r>
      <rPr>
        <sz val="11"/>
        <color theme="1"/>
        <rFont val="Arial"/>
        <family val="2"/>
      </rPr>
      <t>RH</t>
    </r>
    <r>
      <rPr>
        <vertAlign val="subscript"/>
        <sz val="11"/>
        <color theme="1"/>
        <rFont val="Arial"/>
        <family val="2"/>
      </rPr>
      <t>inlet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微軟正黑體"/>
        <family val="2"/>
        <charset val="136"/>
      </rPr>
      <t>取代外氣進行通風與水汽平衡。</t>
    </r>
    <phoneticPr fontId="11" type="noConversion"/>
  </si>
  <si>
    <r>
      <t>T</t>
    </r>
    <r>
      <rPr>
        <vertAlign val="subscript"/>
        <sz val="11"/>
        <color theme="1"/>
        <rFont val="Calibri"/>
        <family val="2"/>
      </rPr>
      <t>inlet</t>
    </r>
    <r>
      <rPr>
        <sz val="11"/>
        <color theme="1"/>
        <rFont val="Calibri"/>
        <family val="2"/>
      </rPr>
      <t xml:space="preserve"> = To - η</t>
    </r>
    <r>
      <rPr>
        <vertAlign val="subscript"/>
        <sz val="11"/>
        <color theme="1"/>
        <rFont val="Calibri"/>
        <family val="2"/>
      </rPr>
      <t>pad</t>
    </r>
    <r>
      <rPr>
        <sz val="11"/>
        <color theme="1"/>
        <rFont val="Calibri"/>
        <family val="2"/>
      </rPr>
      <t>(To - Twb,o)</t>
    </r>
    <r>
      <rPr>
        <sz val="11"/>
        <color theme="1"/>
        <rFont val="微軟正黑體"/>
        <family val="2"/>
        <charset val="136"/>
      </rPr>
      <t>。</t>
    </r>
    <r>
      <rPr>
        <sz val="11"/>
        <color theme="1"/>
        <rFont val="Calibri"/>
        <family val="2"/>
      </rPr>
      <t>η</t>
    </r>
    <r>
      <rPr>
        <vertAlign val="subscript"/>
        <sz val="11"/>
        <color theme="1"/>
        <rFont val="Calibri"/>
        <family val="2"/>
      </rPr>
      <t>pad</t>
    </r>
    <r>
      <rPr>
        <sz val="11"/>
        <color theme="1"/>
        <rFont val="Calibri"/>
        <family val="2"/>
      </rPr>
      <t xml:space="preserve"> = 0 </t>
    </r>
    <r>
      <rPr>
        <sz val="11"/>
        <color theme="1"/>
        <rFont val="微軟正黑體"/>
        <family val="2"/>
        <charset val="136"/>
      </rPr>
      <t>時</t>
    </r>
    <r>
      <rPr>
        <sz val="11"/>
        <color theme="1"/>
        <rFont val="Calibri"/>
        <family val="2"/>
      </rPr>
      <t xml:space="preserve"> T</t>
    </r>
    <r>
      <rPr>
        <vertAlign val="subscript"/>
        <sz val="11"/>
        <color theme="1"/>
        <rFont val="Calibri"/>
        <family val="2"/>
      </rPr>
      <t>inlet</t>
    </r>
    <r>
      <rPr>
        <sz val="11"/>
        <color theme="1"/>
        <rFont val="Calibri"/>
        <family val="2"/>
      </rPr>
      <t xml:space="preserve"> = To</t>
    </r>
    <r>
      <rPr>
        <sz val="11"/>
        <color theme="1"/>
        <rFont val="微軟正黑體"/>
        <family val="2"/>
        <charset val="136"/>
      </rPr>
      <t>、</t>
    </r>
    <r>
      <rPr>
        <sz val="11"/>
        <color theme="1"/>
        <rFont val="Calibri"/>
        <family val="2"/>
      </rPr>
      <t>RH</t>
    </r>
    <r>
      <rPr>
        <vertAlign val="subscript"/>
        <sz val="11"/>
        <color theme="1"/>
        <rFont val="Calibri"/>
        <family val="2"/>
      </rPr>
      <t>inlet</t>
    </r>
    <r>
      <rPr>
        <sz val="11"/>
        <color theme="1"/>
        <rFont val="Calibri"/>
        <family val="2"/>
      </rPr>
      <t xml:space="preserve"> = RHo</t>
    </r>
    <r>
      <rPr>
        <sz val="11"/>
        <color theme="1"/>
        <rFont val="微軟正黑體"/>
        <family val="2"/>
        <charset val="136"/>
      </rPr>
      <t>；</t>
    </r>
    <r>
      <rPr>
        <sz val="11"/>
        <color theme="1"/>
        <rFont val="Calibri"/>
        <family val="2"/>
      </rPr>
      <t>η</t>
    </r>
    <r>
      <rPr>
        <vertAlign val="subscript"/>
        <sz val="11"/>
        <color theme="1"/>
        <rFont val="Calibri"/>
        <family val="2"/>
      </rPr>
      <t>pad</t>
    </r>
    <r>
      <rPr>
        <sz val="11"/>
        <color theme="1"/>
        <rFont val="Calibri"/>
        <family val="2"/>
      </rPr>
      <t xml:space="preserve"> </t>
    </r>
    <r>
      <rPr>
        <sz val="11"/>
        <color theme="1"/>
        <rFont val="微軟正黑體"/>
        <family val="2"/>
        <charset val="136"/>
      </rPr>
      <t>愈高，</t>
    </r>
    <r>
      <rPr>
        <sz val="11"/>
        <color theme="1"/>
        <rFont val="Calibri"/>
        <family val="2"/>
      </rPr>
      <t>T</t>
    </r>
    <r>
      <rPr>
        <vertAlign val="subscript"/>
        <sz val="11"/>
        <color theme="1"/>
        <rFont val="Calibri"/>
        <family val="2"/>
      </rPr>
      <t>inlet</t>
    </r>
    <r>
      <rPr>
        <sz val="11"/>
        <color theme="1"/>
        <rFont val="Calibri"/>
        <family val="2"/>
      </rPr>
      <t xml:space="preserve"> </t>
    </r>
    <r>
      <rPr>
        <sz val="11"/>
        <color theme="1"/>
        <rFont val="微軟正黑體"/>
        <family val="2"/>
        <charset val="136"/>
      </rPr>
      <t>越接近外氣濕球溫度。</t>
    </r>
    <phoneticPr fontId="11" type="noConversion"/>
  </si>
  <si>
    <r>
      <t xml:space="preserve">Model </t>
    </r>
    <r>
      <rPr>
        <sz val="11"/>
        <color theme="1"/>
        <rFont val="微軟正黑體"/>
        <family val="2"/>
        <charset val="136"/>
      </rPr>
      <t>頁輸入之外界淨輻射</t>
    </r>
    <r>
      <rPr>
        <sz val="11"/>
        <color theme="1"/>
        <rFont val="Calibri"/>
        <family val="2"/>
      </rPr>
      <t xml:space="preserve"> Rnet </t>
    </r>
    <r>
      <rPr>
        <sz val="11"/>
        <color theme="1"/>
        <rFont val="微軟正黑體"/>
        <family val="2"/>
        <charset val="136"/>
      </rPr>
      <t>會再乘上外遮陽比例，得到實際進入溫室的</t>
    </r>
    <r>
      <rPr>
        <sz val="11"/>
        <color theme="1"/>
        <rFont val="Calibri"/>
        <family val="2"/>
      </rPr>
      <t xml:space="preserve"> Rnet,eff</t>
    </r>
    <r>
      <rPr>
        <sz val="11"/>
        <color theme="1"/>
        <rFont val="微軟正黑體"/>
        <family val="2"/>
        <charset val="136"/>
      </rPr>
      <t>。</t>
    </r>
    <r>
      <rPr>
        <sz val="11"/>
        <color theme="1"/>
        <rFont val="Calibri"/>
        <family val="2"/>
      </rPr>
      <t xml:space="preserve">0% </t>
    </r>
    <r>
      <rPr>
        <sz val="11"/>
        <color theme="1"/>
        <rFont val="微軟正黑體"/>
        <family val="2"/>
        <charset val="136"/>
      </rPr>
      <t>表示無遮陽；100</t>
    </r>
    <r>
      <rPr>
        <sz val="11"/>
        <color theme="1"/>
        <rFont val="Calibri"/>
        <family val="2"/>
      </rPr>
      <t xml:space="preserve">% </t>
    </r>
    <r>
      <rPr>
        <sz val="11"/>
        <color theme="1"/>
        <rFont val="微軟正黑體"/>
        <family val="2"/>
        <charset val="136"/>
      </rPr>
      <t>表示完全遮光。</t>
    </r>
    <phoneticPr fontId="11" type="noConversion"/>
  </si>
  <si>
    <r>
      <t>e_s(T) = A·exp(BT/(T+C))</t>
    </r>
    <r>
      <rPr>
        <sz val="11"/>
        <color theme="1"/>
        <rFont val="微軟正黑體"/>
        <family val="2"/>
        <charset val="136"/>
      </rPr>
      <t>；</t>
    </r>
    <r>
      <rPr>
        <sz val="11"/>
        <color theme="1"/>
        <rFont val="Calibri"/>
        <family val="2"/>
      </rPr>
      <t>x = 0.622·e/(P-e)</t>
    </r>
    <r>
      <rPr>
        <sz val="11"/>
        <color theme="1"/>
        <rFont val="微軟正黑體"/>
        <family val="2"/>
        <charset val="136"/>
      </rPr>
      <t>；</t>
    </r>
    <r>
      <rPr>
        <sz val="11"/>
        <color theme="1"/>
        <rFont val="Calibri"/>
        <family val="2"/>
      </rPr>
      <t>RH = e/e_s(T)</t>
    </r>
    <r>
      <rPr>
        <sz val="11"/>
        <color theme="1"/>
        <rFont val="微軟正黑體"/>
        <family val="2"/>
        <charset val="136"/>
      </rPr>
      <t>。濕簾出口以外氣等焓近似反算</t>
    </r>
    <r>
      <rPr>
        <sz val="11"/>
        <color theme="1"/>
        <rFont val="Calibri"/>
        <family val="2"/>
      </rPr>
      <t xml:space="preserve"> RH</t>
    </r>
    <r>
      <rPr>
        <vertAlign val="subscript"/>
        <sz val="11"/>
        <color theme="1"/>
        <rFont val="Calibri"/>
        <family val="2"/>
      </rPr>
      <t>inlet</t>
    </r>
    <r>
      <rPr>
        <sz val="11"/>
        <color theme="1"/>
        <rFont val="微軟正黑體"/>
        <family val="2"/>
        <charset val="136"/>
      </rPr>
      <t>。</t>
    </r>
    <phoneticPr fontId="11" type="noConversion"/>
  </si>
  <si>
    <r>
      <t>x_i = x_</t>
    </r>
    <r>
      <rPr>
        <vertAlign val="subscript"/>
        <sz val="11"/>
        <color theme="1"/>
        <rFont val="Calibri"/>
        <family val="2"/>
      </rPr>
      <t>inlet</t>
    </r>
    <r>
      <rPr>
        <sz val="11"/>
        <color theme="1"/>
        <rFont val="Calibri"/>
        <family val="2"/>
      </rPr>
      <t xml:space="preserve"> + E/(ρG)</t>
    </r>
    <r>
      <rPr>
        <sz val="11"/>
        <color theme="1"/>
        <rFont val="微軟正黑體"/>
        <family val="2"/>
        <charset val="136"/>
      </rPr>
      <t>。當濕簾效率為</t>
    </r>
    <r>
      <rPr>
        <sz val="11"/>
        <color theme="1"/>
        <rFont val="Calibri"/>
        <family val="2"/>
      </rPr>
      <t xml:space="preserve"> 0% </t>
    </r>
    <r>
      <rPr>
        <sz val="11"/>
        <color theme="1"/>
        <rFont val="微軟正黑體"/>
        <family val="2"/>
        <charset val="136"/>
      </rPr>
      <t>時，</t>
    </r>
    <r>
      <rPr>
        <sz val="11"/>
        <color theme="1"/>
        <rFont val="Calibri"/>
        <family val="2"/>
      </rPr>
      <t>x_</t>
    </r>
    <r>
      <rPr>
        <vertAlign val="subscript"/>
        <sz val="11"/>
        <color theme="1"/>
        <rFont val="Calibri"/>
        <family val="2"/>
      </rPr>
      <t>inlet</t>
    </r>
    <r>
      <rPr>
        <sz val="11"/>
        <color theme="1"/>
        <rFont val="Calibri"/>
        <family val="2"/>
      </rPr>
      <t xml:space="preserve"> = x_o</t>
    </r>
    <r>
      <rPr>
        <sz val="11"/>
        <color theme="1"/>
        <rFont val="微軟正黑體"/>
        <family val="2"/>
        <charset val="136"/>
      </rPr>
      <t>。</t>
    </r>
    <phoneticPr fontId="11" type="noConversion"/>
  </si>
  <si>
    <r>
      <rPr>
        <i/>
        <sz val="10"/>
        <color rgb="FF7F6000"/>
        <rFont val="微軟正黑體"/>
        <family val="2"/>
        <charset val="136"/>
      </rPr>
      <t>外遮陽比例以"遮蔽比例"輸入：</t>
    </r>
    <r>
      <rPr>
        <i/>
        <sz val="10"/>
        <color rgb="FF7F6000"/>
        <rFont val="Arial"/>
        <family val="2"/>
      </rPr>
      <t>0%</t>
    </r>
    <r>
      <rPr>
        <i/>
        <sz val="10"/>
        <color rgb="FF7F6000"/>
        <rFont val="微軟正黑體"/>
        <family val="2"/>
        <charset val="136"/>
      </rPr>
      <t>＝無遮陽，</t>
    </r>
    <r>
      <rPr>
        <i/>
        <sz val="10"/>
        <color rgb="FF7F6000"/>
        <rFont val="Arial"/>
        <family val="2"/>
      </rPr>
      <t>66%</t>
    </r>
    <r>
      <rPr>
        <i/>
        <sz val="10"/>
        <color rgb="FF7F6000"/>
        <rFont val="微軟正黑體"/>
        <family val="2"/>
        <charset val="136"/>
      </rPr>
      <t>＝</t>
    </r>
    <r>
      <rPr>
        <i/>
        <sz val="10"/>
        <color rgb="FF7F6000"/>
        <rFont val="Arial"/>
        <family val="2"/>
      </rPr>
      <t xml:space="preserve">66% </t>
    </r>
    <r>
      <rPr>
        <i/>
        <sz val="10"/>
        <color rgb="FF7F6000"/>
        <rFont val="微軟正黑體"/>
        <family val="2"/>
        <charset val="136"/>
      </rPr>
      <t>遮光，</t>
    </r>
    <r>
      <rPr>
        <i/>
        <sz val="10"/>
        <color rgb="FF7F6000"/>
        <rFont val="Arial"/>
        <family val="2"/>
      </rPr>
      <t>100%</t>
    </r>
    <r>
      <rPr>
        <i/>
        <sz val="10"/>
        <color rgb="FF7F6000"/>
        <rFont val="微軟正黑體"/>
        <family val="2"/>
        <charset val="136"/>
      </rPr>
      <t>＝完全遮蔽。濕簾效率</t>
    </r>
    <r>
      <rPr>
        <i/>
        <sz val="10"/>
        <color rgb="FF7F6000"/>
        <rFont val="Arial"/>
        <family val="2"/>
      </rPr>
      <t xml:space="preserve"> 0% </t>
    </r>
    <r>
      <rPr>
        <i/>
        <sz val="10"/>
        <color rgb="FF7F6000"/>
        <rFont val="微軟正黑體"/>
        <family val="2"/>
        <charset val="136"/>
      </rPr>
      <t>時</t>
    </r>
    <r>
      <rPr>
        <i/>
        <sz val="10"/>
        <color rgb="FF7F6000"/>
        <rFont val="Arial"/>
        <family val="2"/>
      </rPr>
      <t xml:space="preserve"> T</t>
    </r>
    <r>
      <rPr>
        <i/>
        <vertAlign val="subscript"/>
        <sz val="10"/>
        <color rgb="FF7F6000"/>
        <rFont val="Arial"/>
        <family val="2"/>
      </rPr>
      <t>inlet</t>
    </r>
    <r>
      <rPr>
        <i/>
        <sz val="10"/>
        <color rgb="FF7F6000"/>
        <rFont val="Arial"/>
        <family val="2"/>
      </rPr>
      <t xml:space="preserve"> = To</t>
    </r>
    <r>
      <rPr>
        <i/>
        <sz val="10"/>
        <color rgb="FF7F6000"/>
        <rFont val="微軟正黑體"/>
        <family val="2"/>
        <charset val="136"/>
      </rPr>
      <t>、</t>
    </r>
    <r>
      <rPr>
        <i/>
        <sz val="10"/>
        <color rgb="FF7F6000"/>
        <rFont val="Arial"/>
        <family val="2"/>
      </rPr>
      <t>RH</t>
    </r>
    <r>
      <rPr>
        <i/>
        <vertAlign val="subscript"/>
        <sz val="10"/>
        <color rgb="FF7F6000"/>
        <rFont val="Arial"/>
        <family val="2"/>
      </rPr>
      <t>inlet</t>
    </r>
    <r>
      <rPr>
        <i/>
        <sz val="10"/>
        <color rgb="FF7F6000"/>
        <rFont val="Arial"/>
        <family val="2"/>
      </rPr>
      <t xml:space="preserve"> = RHo</t>
    </r>
    <r>
      <rPr>
        <i/>
        <sz val="10"/>
        <color rgb="FF7F6000"/>
        <rFont val="微軟正黑體"/>
        <family val="2"/>
        <charset val="136"/>
      </rPr>
      <t>。</t>
    </r>
    <phoneticPr fontId="11" type="noConversion"/>
  </si>
  <si>
    <r>
      <rPr>
        <sz val="16"/>
        <color theme="1"/>
        <rFont val="Times New Roman"/>
        <family val="1"/>
      </rPr>
      <t xml:space="preserve">VETH </t>
    </r>
    <r>
      <rPr>
        <sz val="16"/>
        <color theme="1"/>
        <rFont val="標楷體"/>
        <family val="4"/>
        <charset val="136"/>
      </rPr>
      <t>模式</t>
    </r>
    <phoneticPr fontId="11" type="noConversion"/>
  </si>
  <si>
    <t>室外RH</t>
    <phoneticPr fontId="11" type="noConversion"/>
  </si>
  <si>
    <t>室外T</t>
    <phoneticPr fontId="11" type="noConversion"/>
  </si>
  <si>
    <r>
      <t>蒸發量</t>
    </r>
    <r>
      <rPr>
        <sz val="10"/>
        <color theme="1"/>
        <rFont val="Calibri"/>
        <family val="2"/>
      </rPr>
      <t xml:space="preserve"> E</t>
    </r>
  </si>
  <si>
    <r>
      <rPr>
        <sz val="11"/>
        <color theme="1"/>
        <rFont val="微軟正黑體"/>
        <family val="2"/>
        <charset val="136"/>
      </rPr>
      <t>屋面散熱</t>
    </r>
    <r>
      <rPr>
        <sz val="11"/>
        <color theme="1"/>
        <rFont val="Arial"/>
        <family val="2"/>
      </rPr>
      <t xml:space="preserve"> q_cond</t>
    </r>
    <phoneticPr fontId="11" type="noConversion"/>
  </si>
  <si>
    <r>
      <rPr>
        <sz val="11"/>
        <color theme="1"/>
        <rFont val="微軟正黑體"/>
        <family val="2"/>
        <charset val="136"/>
      </rPr>
      <t>蒸發潛熱</t>
    </r>
    <r>
      <rPr>
        <sz val="11"/>
        <color theme="1"/>
        <rFont val="Arial"/>
        <family val="2"/>
      </rPr>
      <t xml:space="preserve"> q_latent</t>
    </r>
    <phoneticPr fontId="11" type="noConversion"/>
  </si>
  <si>
    <t>屋面散熱</t>
    <phoneticPr fontId="11" type="noConversion"/>
  </si>
  <si>
    <t>通風顯熱</t>
    <phoneticPr fontId="11" type="noConversion"/>
  </si>
  <si>
    <t>蒸發潛熱</t>
    <phoneticPr fontId="11" type="noConversion"/>
  </si>
  <si>
    <r>
      <t>T</t>
    </r>
    <r>
      <rPr>
        <vertAlign val="subscript"/>
        <sz val="10"/>
        <color theme="1"/>
        <rFont val="微軟正黑體"/>
        <family val="2"/>
        <charset val="136"/>
      </rPr>
      <t>濕簾後</t>
    </r>
    <phoneticPr fontId="11" type="noConversion"/>
  </si>
  <si>
    <r>
      <t>RH</t>
    </r>
    <r>
      <rPr>
        <vertAlign val="subscript"/>
        <sz val="10"/>
        <color theme="1"/>
        <rFont val="微軟正黑體"/>
        <family val="2"/>
        <charset val="136"/>
      </rPr>
      <t>濕簾後</t>
    </r>
    <phoneticPr fontId="11" type="noConversion"/>
  </si>
  <si>
    <r>
      <rPr>
        <sz val="10"/>
        <color theme="1"/>
        <rFont val="微軟正黑體"/>
        <family val="2"/>
        <charset val="136"/>
      </rPr>
      <t>室內</t>
    </r>
    <r>
      <rPr>
        <sz val="10"/>
        <color theme="1"/>
        <rFont val="Noto Sans CJK SC"/>
        <family val="2"/>
      </rPr>
      <t>T</t>
    </r>
    <phoneticPr fontId="11" type="noConversion"/>
  </si>
  <si>
    <r>
      <rPr>
        <sz val="10"/>
        <color theme="1"/>
        <rFont val="微軟正黑體"/>
        <family val="2"/>
        <charset val="136"/>
      </rPr>
      <t>室內</t>
    </r>
    <r>
      <rPr>
        <sz val="10"/>
        <color theme="1"/>
        <rFont val="Noto Sans CJK SC"/>
        <family val="2"/>
      </rPr>
      <t>RH</t>
    </r>
    <phoneticPr fontId="11" type="noConversion"/>
  </si>
  <si>
    <t>外界淨輻射</t>
    <phoneticPr fontId="11" type="noConversion"/>
  </si>
  <si>
    <t>進入淨輻射</t>
    <phoneticPr fontId="11" type="noConversion"/>
  </si>
  <si>
    <t>Defaullt</t>
    <phoneticPr fontId="11" type="noConversion"/>
  </si>
  <si>
    <t>Case 2</t>
    <phoneticPr fontId="11" type="noConversion"/>
  </si>
  <si>
    <t>Case 3</t>
    <phoneticPr fontId="11" type="noConversion"/>
  </si>
  <si>
    <t>Case 4</t>
    <phoneticPr fontId="11" type="noConversion"/>
  </si>
  <si>
    <t>Case 5</t>
    <phoneticPr fontId="11" type="noConversion"/>
  </si>
  <si>
    <t>Case 6</t>
  </si>
  <si>
    <t>Case 7</t>
  </si>
  <si>
    <t>Case 8</t>
  </si>
  <si>
    <t>Case 9</t>
  </si>
  <si>
    <t>Case 10</t>
  </si>
  <si>
    <t>占比</t>
    <phoneticPr fontId="11" type="noConversion"/>
  </si>
  <si>
    <t>Given V =</t>
    <phoneticPr fontId="11" type="noConversion"/>
  </si>
  <si>
    <t>Given E =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</si>
</sst>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-&quot;$&quot;* #,##0_-;\-&quot;$&quot;* #,##0_-;_-&quot;$&quot;* &quot;-&quot;_-;_-@_-"/>
    <numFmt numFmtId="41" formatCode="_-* #,##0_-;\-* #,##0_-;_-* &quot;-&quot;_-;_-@_-"/>
    <numFmt numFmtId="44" formatCode="_-&quot;$&quot;* #,##0.00_-;\-&quot;$&quot;* #,##0.00_-;_-&quot;$&quot;* &quot;-&quot;??_-;_-@_-"/>
    <numFmt numFmtId="43" formatCode="_-* #,##0.00_-;\-* #,##0.00_-;_-* &quot;-&quot;??_-;_-@_-"/>
    <numFmt numFmtId="176" formatCode="0.0%"/>
    <numFmt numFmtId="177" formatCode="0.000"/>
    <numFmt numFmtId="178" formatCode="0.00000"/>
  </numFmts>
  <fonts count="34">
    <font>
      <sz val="11"/>
      <color theme="1"/>
      <name val="Calibri"/>
      <family val="2"/>
    </font>
    <font>
      <sz val="10"/>
      <name val="Arial"/>
      <family val="2"/>
    </font>
    <font>
      <b/>
      <sz val="11"/>
      <color rgb="FF000000"/>
      <name val="Noto Sans CJK SC"/>
      <family val="2"/>
    </font>
    <font>
      <sz val="11"/>
      <color theme="1"/>
      <name val="Noto Sans CJK SC"/>
      <family val="2"/>
    </font>
    <font>
      <sz val="11"/>
      <color rgb="FF0000FF"/>
      <name val="Cambria"/>
      <family val="1"/>
    </font>
    <font>
      <sz val="11"/>
      <color rgb="FF808080"/>
      <name val="Cambria"/>
      <family val="1"/>
    </font>
    <font>
      <sz val="11"/>
      <color rgb="FF000000"/>
      <name val="Cambria"/>
      <family val="1"/>
    </font>
    <font>
      <sz val="11"/>
      <color rgb="FF0000FF"/>
      <name val="Noto Sans CJK SC"/>
      <family val="2"/>
    </font>
    <font>
      <b/>
      <sz val="11"/>
      <color rgb="FF000000"/>
      <name val="Cambria"/>
      <family val="1"/>
    </font>
    <font>
      <sz val="11"/>
      <color rgb="FF808080"/>
      <name val="Noto Sans CJK SC"/>
      <family val="2"/>
    </font>
    <font>
      <sz val="11"/>
      <color theme="1"/>
      <name val="Calibri"/>
      <family val="2"/>
    </font>
    <font>
      <sz val="9"/>
      <name val="細明體"/>
      <family val="3"/>
      <charset val="136"/>
    </font>
    <font>
      <sz val="11"/>
      <color theme="1"/>
      <name val="微軟正黑體"/>
      <family val="2"/>
      <charset val="136"/>
    </font>
    <font>
      <sz val="11"/>
      <color theme="1"/>
      <name val="Arial"/>
      <family val="2"/>
    </font>
    <font>
      <sz val="11"/>
      <color theme="1"/>
      <name val="Noto Sans CJK SC"/>
      <family val="2"/>
      <charset val="136"/>
    </font>
    <font>
      <sz val="12"/>
      <color theme="1"/>
      <name val="Calibri"/>
      <family val="2"/>
    </font>
    <font>
      <sz val="12"/>
      <color theme="1"/>
      <name val="微軟正黑體"/>
      <family val="2"/>
      <charset val="136"/>
    </font>
    <font>
      <b/>
      <sz val="11"/>
      <color rgb="FF000000"/>
      <name val="新細明體"/>
      <family val="1"/>
      <charset val="136"/>
    </font>
    <font>
      <vertAlign val="subscript"/>
      <sz val="11"/>
      <color theme="1"/>
      <name val="Arial"/>
      <family val="2"/>
    </font>
    <font>
      <b/>
      <sz val="11"/>
      <color rgb="FF808080"/>
      <name val="Cambria"/>
      <family val="1"/>
    </font>
    <font>
      <b/>
      <sz val="11"/>
      <color theme="1"/>
      <name val="Calibri"/>
      <family val="2"/>
    </font>
    <font>
      <vertAlign val="subscript"/>
      <sz val="11"/>
      <color theme="1"/>
      <name val="Calibri"/>
      <family val="2"/>
    </font>
    <font>
      <i/>
      <sz val="10"/>
      <color rgb="FF7F6000"/>
      <name val="Noto Sans CJK SC"/>
      <family val="2"/>
      <charset val="136"/>
    </font>
    <font>
      <i/>
      <sz val="10"/>
      <color rgb="FF7F6000"/>
      <name val="微軟正黑體"/>
      <family val="2"/>
      <charset val="136"/>
    </font>
    <font>
      <i/>
      <sz val="10"/>
      <color rgb="FF7F6000"/>
      <name val="Arial"/>
      <family val="2"/>
    </font>
    <font>
      <i/>
      <vertAlign val="subscript"/>
      <sz val="10"/>
      <color rgb="FF7F6000"/>
      <name val="Arial"/>
      <family val="2"/>
    </font>
    <font>
      <sz val="10"/>
      <color theme="1"/>
      <name val="Calibri"/>
      <family val="2"/>
    </font>
    <font>
      <sz val="16"/>
      <color theme="1"/>
      <name val="標楷體"/>
      <family val="4"/>
      <charset val="136"/>
    </font>
    <font>
      <sz val="16"/>
      <color theme="1"/>
      <name val="Times New Roman"/>
      <family val="1"/>
    </font>
    <font>
      <sz val="16"/>
      <color theme="1"/>
      <name val="Arial Rounded MT Bold"/>
      <family val="1"/>
    </font>
    <font>
      <sz val="10"/>
      <color theme="1"/>
      <name val="微軟正黑體"/>
      <family val="2"/>
      <charset val="136"/>
    </font>
    <font>
      <sz val="10"/>
      <color theme="1"/>
      <name val="Noto Sans CJK SC"/>
      <family val="2"/>
    </font>
    <font>
      <sz val="10"/>
      <color theme="1"/>
      <name val="細明體"/>
      <family val="3"/>
      <charset val="136"/>
    </font>
    <font>
      <vertAlign val="subscript"/>
      <sz val="10"/>
      <color theme="1"/>
      <name val="微軟正黑體"/>
      <family val="2"/>
      <charset val="136"/>
    </font>
  </fonts>
  <fills count="7">
    <fill>
      <patternFill patternType="none"/>
    </fill>
    <fill>
      <patternFill patternType="gray125"/>
    </fill>
    <fill>
      <patternFill patternType="solid">
        <fgColor rgb="FFD9EAF7"/>
      </patternFill>
    </fill>
    <fill>
      <patternFill patternType="solid">
        <fgColor rgb="FFD9E2F3"/>
      </patternFill>
    </fill>
    <fill>
      <patternFill patternType="solid">
        <fgColor rgb="FFDCE6F1"/>
      </patternFill>
    </fill>
    <fill>
      <patternFill patternType="solid">
        <fgColor rgb="FFE7E6E6"/>
      </patternFill>
    </fill>
    <fill>
      <patternFill patternType="solid">
        <fgColor rgb="FFFCE4D6"/>
      </patternFill>
    </fill>
  </fills>
  <borders count="26">
    <border>
      <left/>
      <right/>
      <top/>
      <bottom/>
      <diagonal/>
    </border>
    <border>
      <left/>
      <right/>
      <top style="medium">
        <color rgb="FF4F81BD"/>
      </top>
      <bottom style="medium">
        <color rgb="FF4F81BD"/>
      </bottom>
      <diagonal/>
    </border>
    <border>
      <left/>
      <right/>
      <top/>
      <bottom style="thin">
        <color rgb="FFBFBFBF"/>
      </bottom>
      <diagonal/>
    </border>
    <border>
      <left/>
      <right/>
      <top style="medium">
        <color rgb="FF4F81BD"/>
      </top>
      <bottom/>
      <diagonal/>
    </border>
    <border>
      <left style="medium">
        <color indexed="64"/>
      </left>
      <right/>
      <top style="medium">
        <color indexed="64"/>
      </top>
      <bottom style="thin">
        <color rgb="FFBFBFBF"/>
      </bottom>
      <diagonal/>
    </border>
    <border>
      <left/>
      <right/>
      <top style="medium">
        <color indexed="64"/>
      </top>
      <bottom style="thin">
        <color rgb="FFBFBFBF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rgb="FFBFBFBF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rgb="FF4F81BD"/>
      </bottom>
      <diagonal/>
    </border>
    <border>
      <left/>
      <right/>
      <top style="medium">
        <color indexed="64"/>
      </top>
      <bottom style="medium">
        <color rgb="FF4F81BD"/>
      </bottom>
      <diagonal/>
    </border>
    <border>
      <left/>
      <right style="medium">
        <color indexed="64"/>
      </right>
      <top style="medium">
        <color indexed="64"/>
      </top>
      <bottom style="medium">
        <color rgb="FF4F81BD"/>
      </bottom>
      <diagonal/>
    </border>
    <border>
      <left/>
      <right style="medium">
        <color indexed="64"/>
      </right>
      <top/>
      <bottom style="thin">
        <color rgb="FFBFBFBF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rgb="FFBFBFB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43" fontId="1" fillId="0" borderId="0"/>
    <xf numFmtId="41" fontId="1" fillId="0" borderId="0"/>
    <xf numFmtId="44" fontId="1" fillId="0" borderId="0"/>
    <xf numFmtId="42" fontId="1" fillId="0" borderId="0"/>
    <xf numFmtId="9" fontId="1" fillId="0" borderId="0"/>
    <xf numFmtId="0" fontId="10" fillId="0" borderId="0"/>
    <xf numFmtId="9" fontId="10" fillId="0" borderId="0" applyFont="0" applyFill="0" applyBorder="0" applyAlignment="0" applyProtection="0">
      <alignment vertical="center"/>
    </xf>
  </cellStyleXfs>
  <cellXfs count="105">
    <xf numFmtId="0" fontId="0" fillId="0" borderId="0" xfId="0" applyAlignment="1"/>
    <xf numFmtId="0" fontId="0" fillId="0" borderId="0" xfId="6" applyFont="1" applyAlignment="1"/>
    <xf numFmtId="0" fontId="0" fillId="0" borderId="0" xfId="6" applyFont="1"/>
    <xf numFmtId="0" fontId="3" fillId="0" borderId="2" xfId="6" applyFont="1" applyBorder="1" applyAlignment="1">
      <alignment horizontal="left" vertical="center"/>
    </xf>
    <xf numFmtId="2" fontId="4" fillId="4" borderId="2" xfId="6" applyNumberFormat="1" applyFont="1" applyFill="1" applyBorder="1" applyAlignment="1">
      <alignment horizontal="right" vertical="center"/>
    </xf>
    <xf numFmtId="0" fontId="0" fillId="0" borderId="2" xfId="6" applyFont="1" applyBorder="1" applyAlignment="1">
      <alignment horizontal="left" vertical="center"/>
    </xf>
    <xf numFmtId="2" fontId="5" fillId="5" borderId="2" xfId="6" applyNumberFormat="1" applyFont="1" applyFill="1" applyBorder="1" applyAlignment="1">
      <alignment horizontal="right" vertical="center"/>
    </xf>
    <xf numFmtId="2" fontId="6" fillId="0" borderId="2" xfId="6" applyNumberFormat="1" applyFont="1" applyBorder="1" applyAlignment="1">
      <alignment horizontal="right" vertical="center"/>
    </xf>
    <xf numFmtId="1" fontId="4" fillId="4" borderId="2" xfId="6" applyNumberFormat="1" applyFont="1" applyFill="1" applyBorder="1" applyAlignment="1">
      <alignment horizontal="right" vertical="center"/>
    </xf>
    <xf numFmtId="0" fontId="5" fillId="5" borderId="2" xfId="6" applyFont="1" applyFill="1" applyBorder="1" applyAlignment="1">
      <alignment horizontal="right" vertical="center"/>
    </xf>
    <xf numFmtId="0" fontId="0" fillId="0" borderId="2" xfId="6" applyFont="1" applyBorder="1" applyAlignment="1"/>
    <xf numFmtId="10" fontId="4" fillId="4" borderId="2" xfId="6" applyNumberFormat="1" applyFont="1" applyFill="1" applyBorder="1" applyAlignment="1">
      <alignment horizontal="right" vertical="center"/>
    </xf>
    <xf numFmtId="0" fontId="2" fillId="3" borderId="2" xfId="6" applyFont="1" applyFill="1" applyBorder="1" applyAlignment="1">
      <alignment horizontal="center" vertical="center"/>
    </xf>
    <xf numFmtId="10" fontId="6" fillId="0" borderId="2" xfId="6" applyNumberFormat="1" applyFont="1" applyBorder="1" applyAlignment="1">
      <alignment horizontal="right" vertical="center"/>
    </xf>
    <xf numFmtId="0" fontId="2" fillId="2" borderId="2" xfId="6" applyFont="1" applyFill="1" applyBorder="1" applyAlignment="1">
      <alignment horizontal="center" vertical="center"/>
    </xf>
    <xf numFmtId="0" fontId="8" fillId="2" borderId="2" xfId="6" applyFont="1" applyFill="1" applyBorder="1" applyAlignment="1">
      <alignment horizontal="center" vertical="center"/>
    </xf>
    <xf numFmtId="0" fontId="3" fillId="0" borderId="2" xfId="6" applyFont="1" applyBorder="1" applyAlignment="1">
      <alignment vertical="center"/>
    </xf>
    <xf numFmtId="2" fontId="0" fillId="0" borderId="2" xfId="6" applyNumberFormat="1" applyFont="1" applyBorder="1" applyAlignment="1">
      <alignment vertical="center"/>
    </xf>
    <xf numFmtId="0" fontId="0" fillId="0" borderId="2" xfId="6" applyFont="1" applyBorder="1" applyAlignment="1">
      <alignment vertical="center"/>
    </xf>
    <xf numFmtId="0" fontId="2" fillId="5" borderId="2" xfId="6" applyFont="1" applyFill="1" applyBorder="1" applyAlignment="1">
      <alignment horizontal="left" vertical="center"/>
    </xf>
    <xf numFmtId="0" fontId="5" fillId="5" borderId="0" xfId="6" applyFont="1" applyFill="1" applyAlignment="1">
      <alignment horizontal="left" vertical="center"/>
    </xf>
    <xf numFmtId="2" fontId="0" fillId="0" borderId="0" xfId="6" applyNumberFormat="1" applyFont="1" applyAlignment="1">
      <alignment vertical="center"/>
    </xf>
    <xf numFmtId="0" fontId="9" fillId="5" borderId="0" xfId="6" applyFont="1" applyFill="1" applyAlignment="1">
      <alignment horizontal="center" vertical="center"/>
    </xf>
    <xf numFmtId="0" fontId="0" fillId="0" borderId="0" xfId="6" applyFont="1" applyAlignment="1">
      <alignment vertical="center"/>
    </xf>
    <xf numFmtId="9" fontId="0" fillId="0" borderId="0" xfId="7" applyFont="1" applyAlignment="1"/>
    <xf numFmtId="176" fontId="0" fillId="0" borderId="0" xfId="7" applyNumberFormat="1" applyFont="1" applyAlignment="1"/>
    <xf numFmtId="10" fontId="0" fillId="0" borderId="0" xfId="7" applyNumberFormat="1" applyFont="1" applyAlignment="1"/>
    <xf numFmtId="0" fontId="0" fillId="0" borderId="0" xfId="6" applyFont="1" applyAlignment="1">
      <alignment vertical="center" wrapText="1"/>
    </xf>
    <xf numFmtId="0" fontId="12" fillId="0" borderId="0" xfId="6" applyFont="1" applyAlignment="1">
      <alignment vertical="center"/>
    </xf>
    <xf numFmtId="0" fontId="7" fillId="4" borderId="2" xfId="6" applyFont="1" applyFill="1" applyBorder="1" applyAlignment="1">
      <alignment horizontal="left" vertical="center"/>
    </xf>
    <xf numFmtId="0" fontId="14" fillId="0" borderId="2" xfId="6" applyFont="1" applyBorder="1" applyAlignment="1">
      <alignment vertical="center"/>
    </xf>
    <xf numFmtId="0" fontId="2" fillId="3" borderId="4" xfId="6" applyFont="1" applyFill="1" applyBorder="1" applyAlignment="1">
      <alignment horizontal="center" vertical="center"/>
    </xf>
    <xf numFmtId="0" fontId="2" fillId="3" borderId="5" xfId="6" applyFont="1" applyFill="1" applyBorder="1" applyAlignment="1">
      <alignment horizontal="center" vertical="center"/>
    </xf>
    <xf numFmtId="0" fontId="0" fillId="0" borderId="6" xfId="6" applyFont="1" applyBorder="1"/>
    <xf numFmtId="0" fontId="0" fillId="0" borderId="7" xfId="6" applyFont="1" applyBorder="1" applyAlignment="1">
      <alignment horizontal="left" vertical="center"/>
    </xf>
    <xf numFmtId="0" fontId="0" fillId="0" borderId="8" xfId="6" applyFont="1" applyBorder="1"/>
    <xf numFmtId="0" fontId="0" fillId="0" borderId="9" xfId="6" applyFont="1" applyBorder="1" applyAlignment="1">
      <alignment horizontal="left" vertical="center"/>
    </xf>
    <xf numFmtId="0" fontId="0" fillId="0" borderId="10" xfId="6" applyFont="1" applyBorder="1" applyAlignment="1">
      <alignment horizontal="left" vertical="center"/>
    </xf>
    <xf numFmtId="2" fontId="6" fillId="0" borderId="10" xfId="6" applyNumberFormat="1" applyFont="1" applyBorder="1" applyAlignment="1">
      <alignment horizontal="right" vertical="center"/>
    </xf>
    <xf numFmtId="0" fontId="0" fillId="0" borderId="11" xfId="6" applyFont="1" applyBorder="1"/>
    <xf numFmtId="0" fontId="3" fillId="0" borderId="7" xfId="6" applyFont="1" applyBorder="1" applyAlignment="1">
      <alignment horizontal="left" vertical="center"/>
    </xf>
    <xf numFmtId="0" fontId="0" fillId="0" borderId="15" xfId="6" applyFont="1" applyBorder="1" applyAlignment="1">
      <alignment horizontal="left" vertical="center"/>
    </xf>
    <xf numFmtId="0" fontId="3" fillId="0" borderId="9" xfId="6" applyFont="1" applyBorder="1" applyAlignment="1">
      <alignment horizontal="left" vertical="center"/>
    </xf>
    <xf numFmtId="0" fontId="0" fillId="0" borderId="11" xfId="6" applyFont="1" applyBorder="1" applyAlignment="1">
      <alignment horizontal="left" vertical="center"/>
    </xf>
    <xf numFmtId="0" fontId="2" fillId="0" borderId="7" xfId="6" applyFont="1" applyBorder="1" applyAlignment="1">
      <alignment horizontal="left" vertical="center"/>
    </xf>
    <xf numFmtId="0" fontId="3" fillId="0" borderId="16" xfId="6" applyFont="1" applyBorder="1" applyAlignment="1">
      <alignment horizontal="left" vertical="center"/>
    </xf>
    <xf numFmtId="2" fontId="4" fillId="4" borderId="0" xfId="6" applyNumberFormat="1" applyFont="1" applyFill="1" applyBorder="1" applyAlignment="1">
      <alignment horizontal="right" vertical="center"/>
    </xf>
    <xf numFmtId="0" fontId="0" fillId="0" borderId="8" xfId="6" applyFont="1" applyBorder="1" applyAlignment="1">
      <alignment horizontal="left" vertical="center"/>
    </xf>
    <xf numFmtId="0" fontId="0" fillId="0" borderId="0" xfId="6" applyFont="1" applyBorder="1" applyAlignment="1"/>
    <xf numFmtId="0" fontId="2" fillId="6" borderId="17" xfId="6" applyFont="1" applyFill="1" applyBorder="1" applyAlignment="1">
      <alignment horizontal="center" vertical="center"/>
    </xf>
    <xf numFmtId="2" fontId="6" fillId="0" borderId="0" xfId="6" applyNumberFormat="1" applyFont="1" applyBorder="1" applyAlignment="1">
      <alignment horizontal="right" vertical="center"/>
    </xf>
    <xf numFmtId="10" fontId="6" fillId="0" borderId="0" xfId="6" applyNumberFormat="1" applyFont="1" applyBorder="1" applyAlignment="1">
      <alignment horizontal="right" vertical="center"/>
    </xf>
    <xf numFmtId="0" fontId="14" fillId="0" borderId="7" xfId="6" applyFont="1" applyBorder="1" applyAlignment="1">
      <alignment horizontal="left" vertical="center"/>
    </xf>
    <xf numFmtId="0" fontId="6" fillId="0" borderId="10" xfId="6" applyFont="1" applyBorder="1" applyAlignment="1">
      <alignment horizontal="right" vertical="center"/>
    </xf>
    <xf numFmtId="0" fontId="14" fillId="0" borderId="16" xfId="6" applyFont="1" applyBorder="1" applyAlignment="1">
      <alignment horizontal="left" vertical="center"/>
    </xf>
    <xf numFmtId="2" fontId="6" fillId="0" borderId="5" xfId="6" applyNumberFormat="1" applyFont="1" applyBorder="1" applyAlignment="1">
      <alignment horizontal="right" vertical="center"/>
    </xf>
    <xf numFmtId="0" fontId="0" fillId="0" borderId="20" xfId="6" applyFont="1" applyBorder="1" applyAlignment="1">
      <alignment horizontal="left" vertical="center"/>
    </xf>
    <xf numFmtId="177" fontId="6" fillId="0" borderId="2" xfId="6" applyNumberFormat="1" applyFont="1" applyBorder="1" applyAlignment="1">
      <alignment horizontal="right" vertical="center"/>
    </xf>
    <xf numFmtId="178" fontId="6" fillId="0" borderId="2" xfId="6" applyNumberFormat="1" applyFont="1" applyBorder="1" applyAlignment="1">
      <alignment horizontal="right" vertical="center"/>
    </xf>
    <xf numFmtId="177" fontId="6" fillId="0" borderId="0" xfId="6" applyNumberFormat="1" applyFont="1" applyBorder="1" applyAlignment="1">
      <alignment horizontal="right" vertical="center"/>
    </xf>
    <xf numFmtId="0" fontId="15" fillId="0" borderId="0" xfId="6" applyFont="1"/>
    <xf numFmtId="0" fontId="2" fillId="2" borderId="4" xfId="6" applyFont="1" applyFill="1" applyBorder="1" applyAlignment="1">
      <alignment horizontal="center" vertical="center"/>
    </xf>
    <xf numFmtId="0" fontId="2" fillId="2" borderId="20" xfId="6" applyFont="1" applyFill="1" applyBorder="1" applyAlignment="1">
      <alignment horizontal="center" vertical="center"/>
    </xf>
    <xf numFmtId="0" fontId="3" fillId="0" borderId="15" xfId="6" applyFont="1" applyBorder="1" applyAlignment="1">
      <alignment vertical="center" wrapText="1"/>
    </xf>
    <xf numFmtId="0" fontId="14" fillId="0" borderId="15" xfId="6" applyFont="1" applyBorder="1" applyAlignment="1">
      <alignment vertical="center" wrapText="1"/>
    </xf>
    <xf numFmtId="0" fontId="0" fillId="0" borderId="15" xfId="6" applyFont="1" applyBorder="1" applyAlignment="1">
      <alignment vertical="center" wrapText="1"/>
    </xf>
    <xf numFmtId="0" fontId="0" fillId="0" borderId="11" xfId="6" applyFont="1" applyBorder="1" applyAlignment="1">
      <alignment vertical="center" wrapText="1"/>
    </xf>
    <xf numFmtId="177" fontId="5" fillId="5" borderId="10" xfId="6" applyNumberFormat="1" applyFont="1" applyFill="1" applyBorder="1" applyAlignment="1">
      <alignment horizontal="right" vertical="center"/>
    </xf>
    <xf numFmtId="10" fontId="0" fillId="0" borderId="21" xfId="7" applyNumberFormat="1" applyFont="1" applyBorder="1" applyAlignment="1"/>
    <xf numFmtId="10" fontId="0" fillId="0" borderId="22" xfId="7" applyNumberFormat="1" applyFont="1" applyBorder="1" applyAlignment="1"/>
    <xf numFmtId="10" fontId="0" fillId="0" borderId="23" xfId="7" applyNumberFormat="1" applyFont="1" applyBorder="1" applyAlignment="1"/>
    <xf numFmtId="0" fontId="14" fillId="0" borderId="4" xfId="6" applyFont="1" applyBorder="1" applyAlignment="1">
      <alignment horizontal="left" vertical="center"/>
    </xf>
    <xf numFmtId="0" fontId="14" fillId="0" borderId="9" xfId="6" applyFont="1" applyBorder="1" applyAlignment="1">
      <alignment horizontal="left" vertical="center"/>
    </xf>
    <xf numFmtId="2" fontId="0" fillId="0" borderId="0" xfId="0" applyNumberFormat="1" applyAlignment="1"/>
    <xf numFmtId="0" fontId="30" fillId="0" borderId="25" xfId="6" applyFont="1" applyBorder="1" applyAlignment="1">
      <alignment horizontal="center" vertical="center"/>
    </xf>
    <xf numFmtId="0" fontId="31" fillId="0" borderId="25" xfId="6" applyFont="1" applyBorder="1" applyAlignment="1">
      <alignment horizontal="center" vertical="center"/>
    </xf>
    <xf numFmtId="0" fontId="30" fillId="0" borderId="25" xfId="6" applyFont="1" applyBorder="1" applyAlignment="1">
      <alignment horizontal="left" vertical="center"/>
    </xf>
    <xf numFmtId="0" fontId="31" fillId="0" borderId="25" xfId="6" applyFont="1" applyFill="1" applyBorder="1" applyAlignment="1">
      <alignment horizontal="center" vertical="center"/>
    </xf>
    <xf numFmtId="9" fontId="0" fillId="0" borderId="0" xfId="0" applyNumberFormat="1" applyAlignment="1"/>
    <xf numFmtId="9" fontId="0" fillId="0" borderId="0" xfId="7" applyNumberFormat="1" applyFont="1" applyAlignment="1"/>
    <xf numFmtId="0" fontId="32" fillId="0" borderId="25" xfId="0" applyFont="1" applyBorder="1" applyAlignment="1">
      <alignment horizontal="center" vertical="center"/>
    </xf>
    <xf numFmtId="0" fontId="0" fillId="0" borderId="0" xfId="0" applyAlignment="1">
      <alignment vertical="center"/>
    </xf>
    <xf numFmtId="176" fontId="26" fillId="0" borderId="0" xfId="7" applyNumberFormat="1" applyFont="1" applyAlignment="1"/>
    <xf numFmtId="0" fontId="29" fillId="0" borderId="24" xfId="6" applyFont="1" applyBorder="1" applyAlignment="1">
      <alignment horizontal="center"/>
    </xf>
    <xf numFmtId="0" fontId="2" fillId="3" borderId="12" xfId="6" applyFont="1" applyFill="1" applyBorder="1" applyAlignment="1">
      <alignment horizontal="center" vertical="center"/>
    </xf>
    <xf numFmtId="0" fontId="0" fillId="0" borderId="13" xfId="6" applyFont="1" applyBorder="1"/>
    <xf numFmtId="0" fontId="0" fillId="0" borderId="14" xfId="6" applyFont="1" applyBorder="1"/>
    <xf numFmtId="0" fontId="22" fillId="6" borderId="18" xfId="6" applyFont="1" applyFill="1" applyBorder="1" applyAlignment="1">
      <alignment horizontal="left" vertical="center" wrapText="1"/>
    </xf>
    <xf numFmtId="0" fontId="26" fillId="0" borderId="18" xfId="6" applyFont="1" applyBorder="1" applyAlignment="1">
      <alignment wrapText="1"/>
    </xf>
    <xf numFmtId="0" fontId="26" fillId="0" borderId="19" xfId="6" applyFont="1" applyBorder="1" applyAlignment="1">
      <alignment wrapText="1"/>
    </xf>
    <xf numFmtId="0" fontId="2" fillId="2" borderId="1" xfId="6" applyFont="1" applyFill="1" applyBorder="1" applyAlignment="1">
      <alignment horizontal="left" vertical="center"/>
    </xf>
    <xf numFmtId="0" fontId="0" fillId="0" borderId="1" xfId="6" applyFont="1" applyBorder="1"/>
    <xf numFmtId="0" fontId="2" fillId="3" borderId="1" xfId="6" applyFont="1" applyFill="1" applyBorder="1" applyAlignment="1">
      <alignment horizontal="center" vertical="center"/>
    </xf>
    <xf numFmtId="0" fontId="19" fillId="5" borderId="2" xfId="6" applyFont="1" applyFill="1" applyBorder="1" applyAlignment="1">
      <alignment horizontal="left" vertical="center"/>
    </xf>
    <xf numFmtId="0" fontId="20" fillId="0" borderId="2" xfId="6" applyFont="1" applyBorder="1"/>
    <xf numFmtId="0" fontId="2" fillId="3" borderId="3" xfId="6" applyFont="1" applyFill="1" applyBorder="1" applyAlignment="1">
      <alignment horizontal="center" vertical="center"/>
    </xf>
    <xf numFmtId="0" fontId="0" fillId="0" borderId="3" xfId="6" applyFont="1" applyBorder="1"/>
    <xf numFmtId="0" fontId="2" fillId="2" borderId="2" xfId="6" applyFont="1" applyFill="1" applyBorder="1" applyAlignment="1">
      <alignment horizontal="center" vertical="center"/>
    </xf>
    <xf numFmtId="0" fontId="0" fillId="0" borderId="2" xfId="6" applyFont="1" applyBorder="1"/>
    <xf numFmtId="0" fontId="8" fillId="3" borderId="1" xfId="6" applyFont="1" applyFill="1" applyBorder="1" applyAlignment="1">
      <alignment horizontal="center" vertical="center"/>
    </xf>
    <xf numFmtId="0" fontId="15" fillId="0" borderId="0" xfId="6" applyFont="1" applyAlignment="1">
      <alignment horizontal="center" vertical="center" wrapText="1"/>
    </xf>
    <xf numFmtId="10" fontId="0" fillId="0" borderId="0" xfId="0" applyNumberFormat="1" applyAlignment="1"/>
    <xf numFmtId="2" fontId="0" fillId="0" borderId="0" xfId="0" applyNumberFormat="1" applyBorder="1" applyAlignment="1"/>
    <xf numFmtId="2" fontId="0" fillId="0" borderId="0" xfId="6" applyNumberFormat="1" applyFont="1" applyAlignment="1"/>
    <xf numFmtId="0" fontId="0" fillId="0" borderId="0" xfId="6" applyFont="1" applyAlignment="1">
      <alignment horizontal="right"/>
    </xf>
  </cellXfs>
  <cellStyles count="8">
    <cellStyle name="Comma" xfId="1" xr:uid="{00000000-0005-0000-0000-000001000000}"/>
    <cellStyle name="Comma [0]" xfId="2" xr:uid="{00000000-0005-0000-0000-000002000000}"/>
    <cellStyle name="Currency" xfId="3" xr:uid="{00000000-0005-0000-0000-000003000000}"/>
    <cellStyle name="Currency [0]" xfId="4" xr:uid="{00000000-0005-0000-0000-000004000000}"/>
    <cellStyle name="Normal" xfId="6" xr:uid="{00000000-0005-0000-0000-000000000000}"/>
    <cellStyle name="Percent" xfId="5" xr:uid="{00000000-0005-0000-0000-000005000000}"/>
    <cellStyle name="一般" xfId="0" builtinId="0"/>
    <cellStyle name="百分比" xfId="7" builtinId="5"/>
  </cellStyles>
  <dxfs count="0"/>
  <tableStyles count="0" defaultTableStyle="TableStyleMedium2" defaultPivotStyle="PivotStyleLight16"/>
  <colors>
    <indexedColors>
      <rgbColor rgb="FF000000"/>
      <rgbColor rgb="FFE7E6E6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7F6000"/>
      <rgbColor rgb="FF800080"/>
      <rgbColor rgb="FF008080"/>
      <rgbColor rgb="FFBFBFBF"/>
      <rgbColor rgb="FF808080"/>
      <rgbColor rgb="FF9999FF"/>
      <rgbColor rgb="FFC0504D"/>
      <rgbColor rgb="FFFCE4D6"/>
      <rgbColor rgb="FFD9EAF7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CE6F1"/>
      <rgbColor rgb="FFD9E2F3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4F81BD"/>
      <rgbColor rgb="FFB3B3B3"/>
      <rgbColor rgb="FF003366"/>
      <rgbColor rgb="FF339966"/>
      <rgbColor rgb="FF003300"/>
      <rgbColor rgb="FF333300"/>
      <rgbColor rgb="FF993300"/>
      <rgbColor rgb="FF993366"/>
      <rgbColor rgb="FF1F4E7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1"/>
  <c:style val="2"/>
  <c:chart>
    <c:title>
      <c:tx>
        <c:rich>
          <a:bodyPr/>
          <a:lstStyle/>
          <a:p>
            <a:r>
              <a:rPr lang="en-US" sz="1800" b="1">
                <a:solidFill>
                  <a:srgbClr val="000000"/>
                </a:solidFill>
                <a:latin typeface="Calibri"/>
                <a:ea typeface="Calibri"/>
                <a:cs typeface="Calibri"/>
              </a:rPr>
              <a:t>VETH </a:t>
            </a:r>
            <a:r>
              <a:rPr lang="en-US" altLang="zh-TW" sz="1800" b="1">
                <a:solidFill>
                  <a:srgbClr val="000000"/>
                </a:solidFill>
                <a:latin typeface="Calibri"/>
                <a:ea typeface="Calibri"/>
                <a:cs typeface="Calibri"/>
              </a:rPr>
              <a:t>Diagram under given V and E</a:t>
            </a:r>
            <a:endParaRPr lang="zh-TW" altLang="en-US" sz="1800" b="1">
              <a:solidFill>
                <a:srgbClr val="000000"/>
              </a:solidFill>
              <a:latin typeface="Calibri"/>
              <a:ea typeface="Calibri"/>
              <a:cs typeface="Calibri"/>
            </a:endParaRP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濕簾後 ○</c:v>
          </c:tx>
          <c:spPr>
            <a:ln>
              <a:noFill/>
              <a:prstDash val="solid"/>
            </a:ln>
          </c:spPr>
          <c:marker>
            <c:symbol val="circle"/>
            <c:size val="7"/>
          </c:marker>
          <c:xVal>
            <c:numRef>
              <c:f>VETH圖!$B$6</c:f>
              <c:numCache>
                <c:formatCode>0.00</c:formatCode>
                <c:ptCount val="1"/>
                <c:pt idx="0">
                  <c:v>25.906087922731857</c:v>
                </c:pt>
              </c:numCache>
            </c:numRef>
          </c:xVal>
          <c:yVal>
            <c:numRef>
              <c:f>VETH圖!$C$6</c:f>
              <c:numCache>
                <c:formatCode>0.00</c:formatCode>
                <c:ptCount val="1"/>
                <c:pt idx="0">
                  <c:v>85.39483671767249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7503-4767-BEF4-6FA4A6936132}"/>
            </c:ext>
          </c:extLst>
        </c:ser>
        <c:ser>
          <c:idx val="1"/>
          <c:order val="1"/>
          <c:tx>
            <c:v>室外 *</c:v>
          </c:tx>
          <c:spPr>
            <a:ln w="47520">
              <a:noFill/>
              <a:prstDash val="solid"/>
            </a:ln>
          </c:spPr>
          <c:marker>
            <c:symbol val="square"/>
            <c:size val="10"/>
          </c:marker>
          <c:xVal>
            <c:numRef>
              <c:f>VETH圖!$B$4</c:f>
              <c:numCache>
                <c:formatCode>0.00</c:formatCode>
                <c:ptCount val="1"/>
                <c:pt idx="0">
                  <c:v>32</c:v>
                </c:pt>
              </c:numCache>
            </c:numRef>
          </c:xVal>
          <c:yVal>
            <c:numRef>
              <c:f>VETH圖!$C$4</c:f>
              <c:numCache>
                <c:formatCode>0.00</c:formatCode>
                <c:ptCount val="1"/>
                <c:pt idx="0">
                  <c:v>52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7503-4767-BEF4-6FA4A6936132}"/>
            </c:ext>
          </c:extLst>
        </c:ser>
        <c:ser>
          <c:idx val="2"/>
          <c:order val="2"/>
          <c:tx>
            <c:v>室內 +</c:v>
          </c:tx>
          <c:spPr>
            <a:ln w="47520">
              <a:noFill/>
              <a:prstDash val="solid"/>
            </a:ln>
          </c:spPr>
          <c:marker>
            <c:symbol val="diamond"/>
            <c:size val="10"/>
          </c:marker>
          <c:xVal>
            <c:numRef>
              <c:f>VETH圖!$B$5</c:f>
              <c:numCache>
                <c:formatCode>0.00</c:formatCode>
                <c:ptCount val="1"/>
                <c:pt idx="0">
                  <c:v>33.319871743717179</c:v>
                </c:pt>
              </c:numCache>
            </c:numRef>
          </c:xVal>
          <c:yVal>
            <c:numRef>
              <c:f>VETH圖!$C$5</c:f>
              <c:numCache>
                <c:formatCode>0.00</c:formatCode>
                <c:ptCount val="1"/>
                <c:pt idx="0">
                  <c:v>78.012992965385749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7503-4767-BEF4-6FA4A69361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8650112"/>
        <c:axId val="48672768"/>
      </c:scatterChart>
      <c:valAx>
        <c:axId val="48672768"/>
        <c:scaling>
          <c:orientation val="minMax"/>
          <c:max val="100"/>
        </c:scaling>
        <c:delete val="0"/>
        <c:axPos val="l"/>
        <c:majorGridlines>
          <c:spPr>
            <a:ln w="0">
              <a:solidFill>
                <a:srgbClr val="B3B3B3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zh-TW" altLang="en-US"/>
                  <a:t>相對溼度，</a:t>
                </a:r>
                <a:r>
                  <a:rPr lang="en-US" altLang="zh-TW"/>
                  <a:t>%</a:t>
                </a:r>
                <a:endParaRPr lang="zh-TW" altLang="en-US"/>
              </a:p>
            </c:rich>
          </c:tx>
          <c:overlay val="0"/>
        </c:title>
        <c:numFmt formatCode="0.00" sourceLinked="1"/>
        <c:majorTickMark val="none"/>
        <c:minorTickMark val="none"/>
        <c:tickLblPos val="nextTo"/>
        <c:spPr>
          <a:ln w="0">
            <a:solidFill>
              <a:srgbClr val="B3B3B3"/>
            </a:solidFill>
            <a:prstDash val="solid"/>
          </a:ln>
        </c:spPr>
        <c:txPr>
          <a:bodyPr anchorCtr="1"/>
          <a:lstStyle/>
          <a:p>
            <a:pPr>
              <a:defRPr sz="1000" b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zh-TW"/>
          </a:p>
        </c:txPr>
        <c:crossAx val="48650112"/>
        <c:crosses val="autoZero"/>
        <c:crossBetween val="midCat"/>
      </c:valAx>
      <c:valAx>
        <c:axId val="486501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zh-TW" altLang="en-US"/>
                  <a:t>乾球溫度，</a:t>
                </a:r>
                <a:r>
                  <a:rPr lang="en-US" altLang="zh-TW" baseline="30000"/>
                  <a:t>o</a:t>
                </a:r>
                <a:r>
                  <a:rPr lang="en-US" altLang="zh-TW"/>
                  <a:t>C</a:t>
                </a:r>
                <a:endParaRPr lang="zh-TW" altLang="en-US"/>
              </a:p>
            </c:rich>
          </c:tx>
          <c:overlay val="0"/>
        </c:title>
        <c:numFmt formatCode="0.00" sourceLinked="1"/>
        <c:majorTickMark val="none"/>
        <c:minorTickMark val="none"/>
        <c:tickLblPos val="nextTo"/>
        <c:spPr>
          <a:ln w="0">
            <a:solidFill>
              <a:srgbClr val="B3B3B3"/>
            </a:solidFill>
            <a:prstDash val="solid"/>
          </a:ln>
        </c:spPr>
        <c:txPr>
          <a:bodyPr anchorCtr="1"/>
          <a:lstStyle/>
          <a:p>
            <a:pPr>
              <a:defRPr sz="1000" b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zh-TW"/>
          </a:p>
        </c:txPr>
        <c:crossAx val="48672768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prstDash val="solid"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50800</xdr:colOff>
      <xdr:row>0</xdr:row>
      <xdr:rowOff>101600</xdr:rowOff>
    </xdr:from>
    <xdr:to>
      <xdr:col>15</xdr:col>
      <xdr:colOff>107950</xdr:colOff>
      <xdr:row>18</xdr:row>
      <xdr:rowOff>69850</xdr:rowOff>
    </xdr:to>
    <xdr:graphicFrame macro="">
      <xdr:nvGraphicFramePr>
        <xdr:cNvPr id="2" name="Chart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prstDash val="solid"/>
        </a:ln>
        <a:ln w="25400">
          <a:prstDash val="solid"/>
        </a:ln>
        <a:ln w="3810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9"/>
  <sheetViews>
    <sheetView topLeftCell="A7" workbookViewId="0">
      <selection activeCell="E19" sqref="E19"/>
    </sheetView>
  </sheetViews>
  <sheetFormatPr defaultColWidth="8.6328125" defaultRowHeight="14.5"/>
  <cols>
    <col min="1" max="1" width="22" style="1" customWidth="1"/>
    <col min="2" max="2" width="20" style="1" customWidth="1"/>
    <col min="3" max="3" width="12" style="1" customWidth="1"/>
    <col min="4" max="4" width="4.7265625" style="1" customWidth="1"/>
    <col min="5" max="5" width="22" style="1" customWidth="1"/>
    <col min="6" max="6" width="14" style="1" customWidth="1"/>
    <col min="7" max="7" width="12" style="1" customWidth="1"/>
    <col min="8" max="8" width="1.54296875" style="1" customWidth="1"/>
    <col min="9" max="9" width="23.26953125" style="1" customWidth="1"/>
    <col min="10" max="10" width="20" style="1" customWidth="1"/>
    <col min="11" max="11" width="14" style="1" customWidth="1"/>
  </cols>
  <sheetData>
    <row r="1" spans="1:11" ht="23.5" customHeight="1" thickBot="1">
      <c r="A1" s="83" t="s">
        <v>191</v>
      </c>
      <c r="B1" s="83"/>
      <c r="C1" s="83"/>
      <c r="D1" s="83"/>
      <c r="E1" s="83"/>
      <c r="F1" s="83"/>
      <c r="G1" s="83"/>
      <c r="H1" s="83"/>
      <c r="I1" s="83"/>
      <c r="J1" s="83"/>
      <c r="K1" s="83"/>
    </row>
    <row r="2" spans="1:11" s="2" customFormat="1" ht="21" customHeight="1" thickBot="1">
      <c r="A2" s="90" t="s">
        <v>0</v>
      </c>
      <c r="B2" s="91"/>
      <c r="C2" s="91"/>
      <c r="D2" s="91"/>
      <c r="E2" s="91"/>
      <c r="F2" s="91"/>
      <c r="G2" s="91"/>
      <c r="H2" s="91"/>
      <c r="I2" s="91"/>
      <c r="J2" s="91"/>
      <c r="K2" s="91"/>
    </row>
    <row r="3" spans="1:11" s="2" customFormat="1" ht="4.5" customHeight="1" thickBot="1"/>
    <row r="4" spans="1:11" s="2" customFormat="1" ht="21" customHeight="1" thickBot="1">
      <c r="A4" s="84" t="s">
        <v>1</v>
      </c>
      <c r="B4" s="85"/>
      <c r="C4" s="86"/>
      <c r="E4" s="84" t="s">
        <v>2</v>
      </c>
      <c r="F4" s="85"/>
      <c r="G4" s="86"/>
      <c r="I4" s="84" t="s">
        <v>3</v>
      </c>
      <c r="J4" s="85"/>
      <c r="K4" s="86"/>
    </row>
    <row r="5" spans="1:11" s="2" customFormat="1" ht="21" customHeight="1">
      <c r="A5" s="40" t="s">
        <v>4</v>
      </c>
      <c r="B5" s="4">
        <v>30</v>
      </c>
      <c r="C5" s="41" t="s">
        <v>5</v>
      </c>
      <c r="E5" s="40" t="s">
        <v>6</v>
      </c>
      <c r="F5" s="6">
        <v>1.2</v>
      </c>
      <c r="G5" s="41" t="s">
        <v>7</v>
      </c>
      <c r="I5" s="40" t="s">
        <v>8</v>
      </c>
      <c r="J5" s="7">
        <f>B5*B6</f>
        <v>1080</v>
      </c>
      <c r="K5" s="41" t="s">
        <v>9</v>
      </c>
    </row>
    <row r="6" spans="1:11" s="2" customFormat="1" ht="21" customHeight="1">
      <c r="A6" s="40" t="s">
        <v>10</v>
      </c>
      <c r="B6" s="4">
        <v>36</v>
      </c>
      <c r="C6" s="41" t="s">
        <v>5</v>
      </c>
      <c r="E6" s="40" t="s">
        <v>11</v>
      </c>
      <c r="F6" s="6">
        <v>1010</v>
      </c>
      <c r="G6" s="41" t="s">
        <v>12</v>
      </c>
      <c r="I6" s="40" t="s">
        <v>13</v>
      </c>
      <c r="J6" s="7">
        <f>B6/B7</f>
        <v>6</v>
      </c>
      <c r="K6" s="41" t="s">
        <v>5</v>
      </c>
    </row>
    <row r="7" spans="1:11" s="2" customFormat="1" ht="21" customHeight="1">
      <c r="A7" s="40" t="s">
        <v>14</v>
      </c>
      <c r="B7" s="8">
        <v>6</v>
      </c>
      <c r="C7" s="41" t="s">
        <v>15</v>
      </c>
      <c r="E7" s="40" t="s">
        <v>16</v>
      </c>
      <c r="F7" s="6">
        <v>2450000</v>
      </c>
      <c r="G7" s="41" t="s">
        <v>17</v>
      </c>
      <c r="I7" s="40" t="s">
        <v>18</v>
      </c>
      <c r="J7" s="7">
        <f>DEGREES(ATAN(B9/(B6/(2*B7))))</f>
        <v>18.43494882292201</v>
      </c>
      <c r="K7" s="41" t="s">
        <v>19</v>
      </c>
    </row>
    <row r="8" spans="1:11" s="2" customFormat="1" ht="21" customHeight="1">
      <c r="A8" s="40" t="s">
        <v>20</v>
      </c>
      <c r="B8" s="4">
        <v>3.6</v>
      </c>
      <c r="C8" s="41" t="s">
        <v>5</v>
      </c>
      <c r="E8" s="40" t="s">
        <v>21</v>
      </c>
      <c r="F8" s="6">
        <v>0.61080000000000001</v>
      </c>
      <c r="G8" s="41" t="s">
        <v>22</v>
      </c>
      <c r="I8" s="40" t="s">
        <v>23</v>
      </c>
      <c r="J8" s="7">
        <f>SQRT((B6/(2*B7))^2+B9^2)</f>
        <v>3.1622776601683795</v>
      </c>
      <c r="K8" s="41" t="s">
        <v>5</v>
      </c>
    </row>
    <row r="9" spans="1:11" s="2" customFormat="1" ht="21" customHeight="1">
      <c r="A9" s="40" t="s">
        <v>24</v>
      </c>
      <c r="B9" s="4">
        <v>1</v>
      </c>
      <c r="C9" s="41" t="s">
        <v>5</v>
      </c>
      <c r="E9" s="40" t="s">
        <v>25</v>
      </c>
      <c r="F9" s="6">
        <v>17.27</v>
      </c>
      <c r="G9" s="41" t="s">
        <v>15</v>
      </c>
      <c r="I9" s="40" t="s">
        <v>26</v>
      </c>
      <c r="J9" s="7">
        <f>B7*2*B5*J8</f>
        <v>1138.4199576606165</v>
      </c>
      <c r="K9" s="41" t="s">
        <v>9</v>
      </c>
    </row>
    <row r="10" spans="1:11" s="2" customFormat="1" ht="21" customHeight="1">
      <c r="A10" s="44" t="s">
        <v>27</v>
      </c>
      <c r="B10" s="29" t="s">
        <v>176</v>
      </c>
      <c r="C10" s="41"/>
      <c r="E10" s="40" t="s">
        <v>28</v>
      </c>
      <c r="F10" s="9">
        <v>237.3</v>
      </c>
      <c r="G10" s="41" t="s">
        <v>29</v>
      </c>
      <c r="I10" s="40" t="s">
        <v>30</v>
      </c>
      <c r="J10" s="7">
        <f>2*B5*B8+2*B6*B8+2*B7*((B6/B7)*B9/2)</f>
        <v>511.2</v>
      </c>
      <c r="K10" s="41" t="s">
        <v>9</v>
      </c>
    </row>
    <row r="11" spans="1:11" s="2" customFormat="1" ht="21" customHeight="1">
      <c r="A11" s="40" t="s">
        <v>31</v>
      </c>
      <c r="B11" s="7">
        <f>IFERROR(INDEX(Materials!$C$2:$C$12,MATCH(B10,Materials!$A$2:$A$12,0)),"")</f>
        <v>6.5</v>
      </c>
      <c r="C11" s="41" t="s">
        <v>32</v>
      </c>
      <c r="E11" s="40" t="s">
        <v>33</v>
      </c>
      <c r="F11" s="6">
        <v>0.622</v>
      </c>
      <c r="G11" s="41" t="s">
        <v>15</v>
      </c>
      <c r="I11" s="40" t="s">
        <v>31</v>
      </c>
      <c r="J11" s="7">
        <f>B11</f>
        <v>6.5</v>
      </c>
      <c r="K11" s="41" t="s">
        <v>32</v>
      </c>
    </row>
    <row r="12" spans="1:11" s="2" customFormat="1" ht="21" customHeight="1" thickBot="1">
      <c r="A12" s="44" t="s">
        <v>34</v>
      </c>
      <c r="B12" s="29" t="s">
        <v>35</v>
      </c>
      <c r="C12" s="41"/>
      <c r="E12" s="42" t="s">
        <v>36</v>
      </c>
      <c r="F12" s="67">
        <v>5.6782630000000003</v>
      </c>
      <c r="G12" s="43" t="s">
        <v>15</v>
      </c>
      <c r="I12" s="40" t="s">
        <v>37</v>
      </c>
      <c r="J12" s="7">
        <f>B13</f>
        <v>6.4</v>
      </c>
      <c r="K12" s="41" t="s">
        <v>32</v>
      </c>
    </row>
    <row r="13" spans="1:11" s="2" customFormat="1" ht="21" customHeight="1">
      <c r="A13" s="40" t="s">
        <v>37</v>
      </c>
      <c r="B13" s="7">
        <f>IFERROR(INDEX(Materials!$J$2:$J$17,MATCH(B12,Materials!$H$2:$H$17,0)),"")</f>
        <v>6.4</v>
      </c>
      <c r="C13" s="41" t="s">
        <v>32</v>
      </c>
      <c r="E13" s="10"/>
      <c r="F13" s="10"/>
      <c r="G13" s="10"/>
      <c r="I13" s="40" t="s">
        <v>38</v>
      </c>
      <c r="J13" s="7">
        <f>J9*J11</f>
        <v>7399.7297247940078</v>
      </c>
      <c r="K13" s="41" t="s">
        <v>39</v>
      </c>
    </row>
    <row r="14" spans="1:11" s="2" customFormat="1" ht="21" customHeight="1">
      <c r="A14" s="40" t="s">
        <v>40</v>
      </c>
      <c r="B14" s="4">
        <v>32</v>
      </c>
      <c r="C14" s="41" t="s">
        <v>29</v>
      </c>
      <c r="E14" s="10"/>
      <c r="F14" s="10"/>
      <c r="G14" s="10"/>
      <c r="I14" s="40" t="s">
        <v>41</v>
      </c>
      <c r="J14" s="7">
        <f>J10*J12</f>
        <v>3271.6800000000003</v>
      </c>
      <c r="K14" s="41" t="s">
        <v>39</v>
      </c>
    </row>
    <row r="15" spans="1:11" s="2" customFormat="1" ht="21" customHeight="1">
      <c r="A15" s="40" t="s">
        <v>42</v>
      </c>
      <c r="B15" s="11">
        <v>0.52</v>
      </c>
      <c r="C15" s="41" t="s">
        <v>43</v>
      </c>
      <c r="E15" s="10"/>
      <c r="F15" s="10"/>
      <c r="G15" s="10"/>
      <c r="I15" s="40" t="s">
        <v>44</v>
      </c>
      <c r="J15" s="7">
        <f>J13+J14</f>
        <v>10671.409724794008</v>
      </c>
      <c r="K15" s="41" t="s">
        <v>39</v>
      </c>
    </row>
    <row r="16" spans="1:11" s="2" customFormat="1" ht="21" customHeight="1">
      <c r="A16" s="40" t="s">
        <v>45</v>
      </c>
      <c r="B16" s="4">
        <v>1</v>
      </c>
      <c r="C16" s="41" t="s">
        <v>46</v>
      </c>
      <c r="E16" s="10"/>
      <c r="F16" s="10"/>
      <c r="G16" s="10"/>
      <c r="I16" s="40" t="s">
        <v>47</v>
      </c>
      <c r="J16" s="7">
        <f>J15/J5</f>
        <v>9.8809349303648215</v>
      </c>
      <c r="K16" s="41" t="s">
        <v>48</v>
      </c>
    </row>
    <row r="17" spans="1:11" s="2" customFormat="1" ht="21" customHeight="1">
      <c r="A17" s="40" t="s">
        <v>49</v>
      </c>
      <c r="B17" s="4">
        <v>9</v>
      </c>
      <c r="C17" s="41" t="s">
        <v>50</v>
      </c>
      <c r="E17" s="10"/>
      <c r="F17" s="10"/>
      <c r="G17" s="10"/>
      <c r="I17" s="40" t="s">
        <v>51</v>
      </c>
      <c r="J17" s="58">
        <f>B16/60</f>
        <v>1.6666666666666666E-2</v>
      </c>
      <c r="K17" s="41" t="s">
        <v>52</v>
      </c>
    </row>
    <row r="18" spans="1:11" s="2" customFormat="1" ht="21" customHeight="1">
      <c r="A18" s="40" t="s">
        <v>53</v>
      </c>
      <c r="B18" s="11">
        <v>0</v>
      </c>
      <c r="C18" s="41" t="s">
        <v>43</v>
      </c>
      <c r="E18" s="10"/>
      <c r="F18" s="10"/>
      <c r="G18" s="10"/>
      <c r="I18" s="40" t="s">
        <v>54</v>
      </c>
      <c r="J18" s="58">
        <f>B17/1000/60</f>
        <v>1.4999999999999999E-4</v>
      </c>
      <c r="K18" s="41" t="s">
        <v>55</v>
      </c>
    </row>
    <row r="19" spans="1:11" s="2" customFormat="1" ht="21" customHeight="1">
      <c r="A19" s="40" t="s">
        <v>56</v>
      </c>
      <c r="B19" s="11">
        <v>0.8</v>
      </c>
      <c r="C19" s="41" t="s">
        <v>43</v>
      </c>
      <c r="E19" s="10"/>
      <c r="F19" s="10"/>
      <c r="G19" s="10"/>
      <c r="I19" s="40" t="s">
        <v>57</v>
      </c>
      <c r="J19" s="57">
        <f>F8*EXP(F9*B14/(B14+F10))</f>
        <v>4.7547753962618131</v>
      </c>
      <c r="K19" s="41" t="s">
        <v>22</v>
      </c>
    </row>
    <row r="20" spans="1:11" s="2" customFormat="1" ht="21" customHeight="1">
      <c r="A20" s="40" t="s">
        <v>58</v>
      </c>
      <c r="B20" s="4">
        <v>530.29999999999995</v>
      </c>
      <c r="C20" s="41" t="s">
        <v>59</v>
      </c>
      <c r="E20" s="10"/>
      <c r="F20" s="10"/>
      <c r="G20" s="10"/>
      <c r="I20" s="40" t="s">
        <v>60</v>
      </c>
      <c r="J20" s="57">
        <f>B15*J19</f>
        <v>2.4724832060561428</v>
      </c>
      <c r="K20" s="41" t="s">
        <v>22</v>
      </c>
    </row>
    <row r="21" spans="1:11" s="2" customFormat="1" ht="21" customHeight="1" thickBot="1">
      <c r="A21" s="45" t="s">
        <v>61</v>
      </c>
      <c r="B21" s="46">
        <v>101.325</v>
      </c>
      <c r="C21" s="47" t="s">
        <v>22</v>
      </c>
      <c r="E21" s="48"/>
      <c r="F21" s="48"/>
      <c r="G21" s="48"/>
      <c r="I21" s="40" t="s">
        <v>62</v>
      </c>
      <c r="J21" s="57">
        <f>F11*J20/(B21-J20)</f>
        <v>1.5557363677169809E-2</v>
      </c>
      <c r="K21" s="41" t="s">
        <v>63</v>
      </c>
    </row>
    <row r="22" spans="1:11" s="2" customFormat="1" ht="28.5" customHeight="1" thickBot="1">
      <c r="A22" s="49" t="s">
        <v>64</v>
      </c>
      <c r="B22" s="87" t="s">
        <v>190</v>
      </c>
      <c r="C22" s="88"/>
      <c r="D22" s="88"/>
      <c r="E22" s="88"/>
      <c r="F22" s="88"/>
      <c r="G22" s="89"/>
      <c r="I22" s="45" t="s">
        <v>65</v>
      </c>
      <c r="J22" s="50">
        <f>B14*ATAN(0.151977*SQRT(B15*100+8.313659))+ATAN(B14+B15*100)-ATAN(B15*100-1.676331)+0.00391838*(B15*100)^(3/2)*ATAN(0.023101*B15*100)-4.686035</f>
        <v>24.382609903414821</v>
      </c>
      <c r="K22" s="47" t="s">
        <v>29</v>
      </c>
    </row>
    <row r="23" spans="1:11" s="2" customFormat="1" ht="18" customHeight="1">
      <c r="I23" s="45" t="s">
        <v>66</v>
      </c>
      <c r="J23" s="50">
        <f>B20*(1-B18)</f>
        <v>530.29999999999995</v>
      </c>
      <c r="K23" s="47" t="s">
        <v>67</v>
      </c>
    </row>
    <row r="24" spans="1:11" s="2" customFormat="1" ht="15" customHeight="1">
      <c r="I24" s="54" t="s">
        <v>184</v>
      </c>
      <c r="J24" s="50">
        <f>B14-B19*(B14-J22)</f>
        <v>25.906087922731857</v>
      </c>
      <c r="K24" s="47" t="s">
        <v>29</v>
      </c>
    </row>
    <row r="25" spans="1:11" s="2" customFormat="1" ht="15" customHeight="1">
      <c r="I25" s="54" t="s">
        <v>182</v>
      </c>
      <c r="J25" s="59">
        <f>F8*EXP(F9*J24/(J24+F10))</f>
        <v>3.3428238997050133</v>
      </c>
      <c r="K25" s="47" t="s">
        <v>22</v>
      </c>
    </row>
    <row r="26" spans="1:11" s="2" customFormat="1" ht="18" customHeight="1">
      <c r="C26" s="60"/>
      <c r="I26" s="54" t="s">
        <v>183</v>
      </c>
      <c r="J26" s="59">
        <f>F11*J25/(B21-J25)</f>
        <v>2.1220558150170113E-2</v>
      </c>
      <c r="K26" s="47" t="s">
        <v>63</v>
      </c>
    </row>
    <row r="27" spans="1:11" s="2" customFormat="1" ht="15.5" customHeight="1">
      <c r="I27" s="54" t="s">
        <v>178</v>
      </c>
      <c r="J27" s="59">
        <f>((1.006*B14+J21*(2501+1.86*B14))-1.006*J24)/(2501+1.86*J24)</f>
        <v>1.8031414180838937E-2</v>
      </c>
      <c r="K27" s="47" t="s">
        <v>63</v>
      </c>
    </row>
    <row r="28" spans="1:11" s="2" customFormat="1" ht="15" customHeight="1">
      <c r="I28" s="54" t="s">
        <v>179</v>
      </c>
      <c r="J28" s="59">
        <f>B21*J27/(F11+J27)</f>
        <v>2.8545990109124277</v>
      </c>
      <c r="K28" s="47" t="s">
        <v>22</v>
      </c>
    </row>
    <row r="29" spans="1:11" s="2" customFormat="1" ht="16" customHeight="1">
      <c r="I29" s="54" t="s">
        <v>180</v>
      </c>
      <c r="J29" s="51">
        <f>J28/J25</f>
        <v>0.85394836717672484</v>
      </c>
      <c r="K29" s="47" t="s">
        <v>43</v>
      </c>
    </row>
    <row r="30" spans="1:11" s="2" customFormat="1" ht="17" customHeight="1">
      <c r="I30" s="54" t="s">
        <v>181</v>
      </c>
      <c r="J30" s="51">
        <f>MIN(1,J29)</f>
        <v>0.85394836717672484</v>
      </c>
      <c r="K30" s="47" t="s">
        <v>43</v>
      </c>
    </row>
    <row r="31" spans="1:11" s="2" customFormat="1" ht="16.5" customHeight="1">
      <c r="I31" s="45" t="s">
        <v>68</v>
      </c>
      <c r="J31" s="50">
        <f>J27+J18/(F5*J17)</f>
        <v>2.5531414180838936E-2</v>
      </c>
      <c r="K31" s="47" t="s">
        <v>63</v>
      </c>
    </row>
    <row r="32" spans="1:11" s="2" customFormat="1" ht="17.5" customHeight="1">
      <c r="I32" s="45" t="s">
        <v>69</v>
      </c>
      <c r="J32" s="50">
        <f>B21*J31/(F11+J31)</f>
        <v>3.9951274721492207</v>
      </c>
      <c r="K32" s="47" t="s">
        <v>22</v>
      </c>
    </row>
    <row r="33" spans="1:11" s="2" customFormat="1" ht="17" customHeight="1">
      <c r="I33" s="45" t="s">
        <v>70</v>
      </c>
      <c r="J33" s="50">
        <f>F5*F6*J17+J16</f>
        <v>30.080934930364819</v>
      </c>
      <c r="K33" s="47" t="s">
        <v>48</v>
      </c>
    </row>
    <row r="34" spans="1:11" s="2" customFormat="1" ht="13.5" customHeight="1">
      <c r="I34" s="45" t="s">
        <v>71</v>
      </c>
      <c r="J34" s="50">
        <f>(J23-F7*J18+F5*F6*J17*J24+J16*B14)/J33</f>
        <v>33.319871743717179</v>
      </c>
      <c r="K34" s="47" t="s">
        <v>29</v>
      </c>
    </row>
    <row r="35" spans="1:11" s="2" customFormat="1" ht="13" customHeight="1" thickBot="1">
      <c r="I35" s="45" t="s">
        <v>72</v>
      </c>
      <c r="J35" s="51">
        <f>J32/(F8*EXP(F9*J34/(J34+F10)))</f>
        <v>0.78012992965385752</v>
      </c>
      <c r="K35" s="47" t="s">
        <v>43</v>
      </c>
    </row>
    <row r="36" spans="1:11" s="2" customFormat="1" ht="13" customHeight="1" thickBot="1">
      <c r="A36" s="31" t="s">
        <v>73</v>
      </c>
      <c r="B36" s="32" t="s">
        <v>74</v>
      </c>
      <c r="C36" s="32" t="s">
        <v>75</v>
      </c>
      <c r="D36" s="32" t="s">
        <v>76</v>
      </c>
      <c r="E36" s="33"/>
      <c r="I36" s="54" t="s">
        <v>162</v>
      </c>
      <c r="J36" s="51">
        <f>MIN(1,J35)</f>
        <v>0.78012992965385752</v>
      </c>
      <c r="K36" s="47" t="s">
        <v>43</v>
      </c>
    </row>
    <row r="37" spans="1:11" s="2" customFormat="1" ht="21" customHeight="1">
      <c r="A37" s="34" t="s">
        <v>77</v>
      </c>
      <c r="B37" s="5" t="s">
        <v>78</v>
      </c>
      <c r="C37" s="7">
        <f>J21</f>
        <v>1.5557363677169809E-2</v>
      </c>
      <c r="D37" s="5" t="s">
        <v>63</v>
      </c>
      <c r="E37" s="35"/>
      <c r="G37" s="68">
        <f>J37/$J$23</f>
        <v>2.4592809383550074E-2</v>
      </c>
      <c r="I37" s="71" t="s">
        <v>195</v>
      </c>
      <c r="J37" s="55">
        <f>J16*(J34-B14)</f>
        <v>13.041566816096603</v>
      </c>
      <c r="K37" s="56" t="s">
        <v>67</v>
      </c>
    </row>
    <row r="38" spans="1:11" s="2" customFormat="1" ht="21" customHeight="1">
      <c r="A38" s="34" t="s">
        <v>79</v>
      </c>
      <c r="B38" s="5" t="s">
        <v>80</v>
      </c>
      <c r="C38" s="7">
        <f>J24</f>
        <v>25.906087922731857</v>
      </c>
      <c r="D38" s="5" t="s">
        <v>29</v>
      </c>
      <c r="E38" s="35"/>
      <c r="G38" s="69">
        <f>J38/$J$23</f>
        <v>0.2824032305938215</v>
      </c>
      <c r="I38" s="40" t="s">
        <v>83</v>
      </c>
      <c r="J38" s="7">
        <f>F5*F6*J17*(J34-J24)</f>
        <v>149.75843318390352</v>
      </c>
      <c r="K38" s="41" t="s">
        <v>67</v>
      </c>
    </row>
    <row r="39" spans="1:11" s="2" customFormat="1" ht="21" customHeight="1" thickBot="1">
      <c r="A39" s="34" t="s">
        <v>81</v>
      </c>
      <c r="B39" s="3" t="s">
        <v>82</v>
      </c>
      <c r="C39" s="13">
        <f>J30</f>
        <v>0.85394836717672484</v>
      </c>
      <c r="D39" s="5" t="s">
        <v>43</v>
      </c>
      <c r="E39" s="35"/>
      <c r="G39" s="70">
        <f>J39/$J$23</f>
        <v>0.69300396002262865</v>
      </c>
      <c r="I39" s="72" t="s">
        <v>196</v>
      </c>
      <c r="J39" s="38">
        <f>F7*J18</f>
        <v>367.49999999999994</v>
      </c>
      <c r="K39" s="43" t="s">
        <v>67</v>
      </c>
    </row>
    <row r="40" spans="1:11" s="2" customFormat="1" ht="21" customHeight="1">
      <c r="A40" s="34" t="s">
        <v>84</v>
      </c>
      <c r="B40" s="5" t="s">
        <v>85</v>
      </c>
      <c r="C40" s="7">
        <f>J31</f>
        <v>2.5531414180838936E-2</v>
      </c>
      <c r="D40" s="5" t="s">
        <v>63</v>
      </c>
      <c r="E40" s="35"/>
      <c r="I40" s="52" t="s">
        <v>163</v>
      </c>
      <c r="J40" s="13">
        <f>MIN(1,G39)</f>
        <v>0.69300396002262865</v>
      </c>
      <c r="K40" s="41" t="s">
        <v>43</v>
      </c>
    </row>
    <row r="41" spans="1:11" s="2" customFormat="1" ht="21" customHeight="1">
      <c r="A41" s="34" t="s">
        <v>86</v>
      </c>
      <c r="B41" s="5" t="s">
        <v>87</v>
      </c>
      <c r="C41" s="7">
        <f>J33</f>
        <v>30.080934930364819</v>
      </c>
      <c r="D41" s="5" t="s">
        <v>48</v>
      </c>
      <c r="E41" s="35"/>
      <c r="I41" s="40" t="s">
        <v>92</v>
      </c>
      <c r="J41" s="7">
        <f>J23-J37-J38-J39</f>
        <v>0</v>
      </c>
      <c r="K41" s="41" t="s">
        <v>67</v>
      </c>
    </row>
    <row r="42" spans="1:11" s="2" customFormat="1" ht="21" customHeight="1" thickBot="1">
      <c r="A42" s="34" t="s">
        <v>88</v>
      </c>
      <c r="B42" s="5" t="s">
        <v>89</v>
      </c>
      <c r="C42" s="7">
        <f>J23</f>
        <v>530.29999999999995</v>
      </c>
      <c r="D42" s="5" t="s">
        <v>67</v>
      </c>
      <c r="E42" s="35"/>
      <c r="I42" s="42" t="s">
        <v>95</v>
      </c>
      <c r="J42" s="53" t="str">
        <f>IF(OR(J35&gt;1,J29&gt;1),"RH &gt; 100%（請檢查輸入）","OK")</f>
        <v>OK</v>
      </c>
      <c r="K42" s="43"/>
    </row>
    <row r="43" spans="1:11" s="2" customFormat="1" ht="21" customHeight="1">
      <c r="A43" s="34" t="s">
        <v>90</v>
      </c>
      <c r="B43" s="5" t="s">
        <v>91</v>
      </c>
      <c r="C43" s="7">
        <f>J34</f>
        <v>33.319871743717179</v>
      </c>
      <c r="D43" s="5" t="s">
        <v>29</v>
      </c>
      <c r="E43" s="35"/>
    </row>
    <row r="44" spans="1:11" s="2" customFormat="1" ht="21" customHeight="1">
      <c r="A44" s="34" t="s">
        <v>93</v>
      </c>
      <c r="B44" s="5" t="s">
        <v>94</v>
      </c>
      <c r="C44" s="13">
        <f>J36</f>
        <v>0.78012992965385752</v>
      </c>
      <c r="D44" s="5" t="s">
        <v>43</v>
      </c>
      <c r="E44" s="35"/>
    </row>
    <row r="45" spans="1:11" s="2" customFormat="1" ht="21" customHeight="1">
      <c r="A45" s="34" t="s">
        <v>96</v>
      </c>
      <c r="B45" s="5" t="s">
        <v>97</v>
      </c>
      <c r="C45" s="7">
        <f>J37</f>
        <v>13.041566816096603</v>
      </c>
      <c r="D45" s="5" t="s">
        <v>67</v>
      </c>
      <c r="E45" s="35"/>
    </row>
    <row r="46" spans="1:11" s="2" customFormat="1" ht="21" customHeight="1">
      <c r="A46" s="34" t="s">
        <v>98</v>
      </c>
      <c r="B46" s="5" t="s">
        <v>99</v>
      </c>
      <c r="C46" s="7">
        <f>J38</f>
        <v>149.75843318390352</v>
      </c>
      <c r="D46" s="5" t="s">
        <v>67</v>
      </c>
      <c r="E46" s="35"/>
    </row>
    <row r="47" spans="1:11" s="2" customFormat="1" ht="21" customHeight="1">
      <c r="A47" s="34" t="s">
        <v>100</v>
      </c>
      <c r="B47" s="5" t="s">
        <v>101</v>
      </c>
      <c r="C47" s="7">
        <f>J39</f>
        <v>367.49999999999994</v>
      </c>
      <c r="D47" s="5" t="s">
        <v>67</v>
      </c>
      <c r="E47" s="35"/>
    </row>
    <row r="48" spans="1:11" s="2" customFormat="1" ht="21" customHeight="1" thickBot="1">
      <c r="A48" s="36" t="s">
        <v>102</v>
      </c>
      <c r="B48" s="37" t="s">
        <v>103</v>
      </c>
      <c r="C48" s="38">
        <f>J41</f>
        <v>0</v>
      </c>
      <c r="D48" s="37" t="s">
        <v>67</v>
      </c>
      <c r="E48" s="39"/>
    </row>
    <row r="49" s="2" customFormat="1" ht="21" customHeight="1"/>
  </sheetData>
  <mergeCells count="6">
    <mergeCell ref="A1:K1"/>
    <mergeCell ref="A4:C4"/>
    <mergeCell ref="E4:G4"/>
    <mergeCell ref="I4:K4"/>
    <mergeCell ref="B22:G22"/>
    <mergeCell ref="A2:K2"/>
  </mergeCells>
  <phoneticPr fontId="11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xr:uid="{00000000-0002-0000-0000-000000000000}">
          <x14:formula1>
            <xm:f>Materials!$A$2:$A$12</xm:f>
          </x14:formula1>
          <x14:formula2>
            <xm:f>0</xm:f>
          </x14:formula2>
          <xm:sqref>B10</xm:sqref>
        </x14:dataValidation>
        <x14:dataValidation type="list" xr:uid="{00000000-0002-0000-0000-000001000000}">
          <x14:formula1>
            <xm:f>Materials!$H$2:$H$17</xm:f>
          </x14:formula1>
          <x14:formula2>
            <xm:f>0</xm:f>
          </x14:formula2>
          <xm:sqref>B12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E39963-1EAC-49C5-8877-5BE2B2726D02}">
  <dimension ref="A1:S15"/>
  <sheetViews>
    <sheetView workbookViewId="0">
      <selection activeCell="C15" sqref="C15"/>
    </sheetView>
  </sheetViews>
  <sheetFormatPr defaultRowHeight="14.5"/>
  <cols>
    <col min="2" max="2" width="7.08984375" customWidth="1"/>
    <col min="3" max="3" width="7.6328125" customWidth="1"/>
    <col min="4" max="4" width="8" customWidth="1"/>
    <col min="5" max="5" width="8.08984375" customWidth="1"/>
    <col min="7" max="7" width="8.453125" customWidth="1"/>
    <col min="8" max="8" width="10.26953125" bestFit="1" customWidth="1"/>
    <col min="9" max="9" width="9.54296875" customWidth="1"/>
    <col min="10" max="10" width="7.54296875" customWidth="1"/>
    <col min="11" max="11" width="7.90625" customWidth="1"/>
    <col min="12" max="12" width="7.453125" customWidth="1"/>
    <col min="13" max="13" width="7.6328125" customWidth="1"/>
    <col min="14" max="14" width="7.453125" customWidth="1"/>
    <col min="15" max="15" width="5.26953125" customWidth="1"/>
    <col min="17" max="17" width="5.6328125" customWidth="1"/>
    <col min="19" max="19" width="6" customWidth="1"/>
  </cols>
  <sheetData>
    <row r="1" spans="1:19" s="81" customFormat="1" ht="18" customHeight="1">
      <c r="B1" s="74" t="s">
        <v>193</v>
      </c>
      <c r="C1" s="74" t="s">
        <v>192</v>
      </c>
      <c r="D1" s="75" t="s">
        <v>45</v>
      </c>
      <c r="E1" s="80" t="s">
        <v>194</v>
      </c>
      <c r="F1" s="75" t="s">
        <v>53</v>
      </c>
      <c r="G1" s="75" t="s">
        <v>56</v>
      </c>
      <c r="H1" s="76" t="s">
        <v>204</v>
      </c>
      <c r="I1" s="75" t="s">
        <v>205</v>
      </c>
      <c r="J1" s="77" t="s">
        <v>200</v>
      </c>
      <c r="K1" s="77" t="s">
        <v>201</v>
      </c>
      <c r="L1" s="77" t="s">
        <v>202</v>
      </c>
      <c r="M1" s="77" t="s">
        <v>203</v>
      </c>
      <c r="N1" s="74" t="s">
        <v>197</v>
      </c>
      <c r="O1" s="74" t="s">
        <v>216</v>
      </c>
      <c r="P1" s="74" t="s">
        <v>198</v>
      </c>
      <c r="Q1" s="74" t="s">
        <v>216</v>
      </c>
      <c r="R1" s="74" t="s">
        <v>199</v>
      </c>
      <c r="S1" s="74" t="s">
        <v>216</v>
      </c>
    </row>
    <row r="2" spans="1:19" ht="18" customHeight="1">
      <c r="A2" t="s">
        <v>206</v>
      </c>
      <c r="B2">
        <v>32</v>
      </c>
      <c r="C2" s="25">
        <v>0.52</v>
      </c>
      <c r="D2">
        <v>1</v>
      </c>
      <c r="E2">
        <v>5</v>
      </c>
      <c r="F2" s="24">
        <v>0</v>
      </c>
      <c r="G2" s="78">
        <v>0</v>
      </c>
      <c r="H2">
        <v>530.29999999999995</v>
      </c>
      <c r="I2">
        <v>530.29999999999995</v>
      </c>
      <c r="J2">
        <v>32</v>
      </c>
      <c r="K2" s="25">
        <v>0.52</v>
      </c>
      <c r="L2" s="73">
        <v>42.841861600655314</v>
      </c>
      <c r="M2" s="25">
        <v>0.36345910742229548</v>
      </c>
      <c r="N2" s="73">
        <v>107.12772900009614</v>
      </c>
      <c r="O2" s="24">
        <f>N2/$I$2</f>
        <v>0.20201344333414323</v>
      </c>
      <c r="P2" s="73">
        <v>219.00560433323733</v>
      </c>
      <c r="Q2" s="24">
        <f>P2/$I$2</f>
        <v>0.41298435665328559</v>
      </c>
      <c r="R2" s="73">
        <v>204.16666666666666</v>
      </c>
      <c r="S2" s="79">
        <f>R2/$I$2</f>
        <v>0.38500220001257152</v>
      </c>
    </row>
    <row r="3" spans="1:19" ht="18" customHeight="1">
      <c r="A3" t="s">
        <v>207</v>
      </c>
      <c r="B3">
        <v>32</v>
      </c>
      <c r="C3" s="25">
        <v>0.52</v>
      </c>
      <c r="D3">
        <v>1</v>
      </c>
      <c r="E3">
        <v>9</v>
      </c>
      <c r="F3" s="24">
        <v>0</v>
      </c>
      <c r="G3" s="24">
        <v>0.5</v>
      </c>
      <c r="H3">
        <v>530.29999999999995</v>
      </c>
      <c r="I3">
        <v>530.29999999999995</v>
      </c>
      <c r="J3" s="73">
        <v>28.191304951707409</v>
      </c>
      <c r="K3" s="26">
        <v>0.70933683607305964</v>
      </c>
      <c r="L3" s="73">
        <v>34.85444452518712</v>
      </c>
      <c r="M3" s="25">
        <v>0.691172570315157</v>
      </c>
      <c r="N3" s="73">
        <v>28.204580615710036</v>
      </c>
      <c r="O3" s="24">
        <v>5.3186084510107562E-2</v>
      </c>
      <c r="P3" s="73">
        <v>134.59541938429015</v>
      </c>
      <c r="Q3" s="24">
        <v>0.25380995546726415</v>
      </c>
      <c r="R3">
        <v>367.49999999999994</v>
      </c>
      <c r="S3" s="24">
        <v>0.69300396002262865</v>
      </c>
    </row>
    <row r="4" spans="1:19" ht="18" customHeight="1">
      <c r="A4" t="s">
        <v>208</v>
      </c>
      <c r="B4">
        <v>32</v>
      </c>
      <c r="C4" s="25">
        <v>0.52</v>
      </c>
      <c r="D4">
        <v>1</v>
      </c>
      <c r="E4">
        <v>5</v>
      </c>
      <c r="F4" s="25">
        <v>0.5</v>
      </c>
      <c r="G4" s="24">
        <v>0</v>
      </c>
      <c r="H4">
        <v>530.29999999999995</v>
      </c>
      <c r="I4">
        <v>265.14999999999998</v>
      </c>
      <c r="J4">
        <v>32</v>
      </c>
      <c r="K4" s="25">
        <v>0.52</v>
      </c>
      <c r="L4" s="73">
        <v>34.02730844219122</v>
      </c>
      <c r="M4" s="25">
        <v>0.58459144607053359</v>
      </c>
      <c r="N4" s="102">
        <v>20.031702801070718</v>
      </c>
      <c r="O4" s="25">
        <v>7.5548567984426621E-2</v>
      </c>
      <c r="P4" s="73">
        <v>40.951630532262648</v>
      </c>
      <c r="Q4" s="25">
        <v>0.15444703199043053</v>
      </c>
      <c r="R4" s="73">
        <v>204.16666666666666</v>
      </c>
      <c r="S4" s="82">
        <v>0.77000440002514303</v>
      </c>
    </row>
    <row r="5" spans="1:19" ht="18" customHeight="1">
      <c r="A5" t="s">
        <v>209</v>
      </c>
      <c r="B5">
        <v>32</v>
      </c>
      <c r="C5" s="25">
        <v>0.52</v>
      </c>
      <c r="D5">
        <v>1</v>
      </c>
      <c r="E5">
        <v>9</v>
      </c>
      <c r="F5">
        <v>0</v>
      </c>
      <c r="G5" s="24">
        <v>0.8</v>
      </c>
      <c r="H5">
        <v>530.29999999999995</v>
      </c>
      <c r="I5">
        <v>530.29999999999995</v>
      </c>
      <c r="J5">
        <v>25.91</v>
      </c>
      <c r="K5" s="101">
        <v>0.85389999999999999</v>
      </c>
      <c r="L5">
        <v>33.319871743717179</v>
      </c>
      <c r="M5" s="25">
        <v>0.78012992965385752</v>
      </c>
      <c r="N5" s="7">
        <v>13.041566816096603</v>
      </c>
      <c r="O5" s="25">
        <f>N5/I5</f>
        <v>2.4592809383550074E-2</v>
      </c>
      <c r="P5" s="7">
        <v>149.75843318390352</v>
      </c>
      <c r="Q5" s="25">
        <f>P5/I5</f>
        <v>0.2824032305938215</v>
      </c>
      <c r="R5" s="50">
        <v>367.49999999999994</v>
      </c>
      <c r="S5" s="82">
        <f>R5/I5</f>
        <v>0.69300396002262865</v>
      </c>
    </row>
    <row r="6" spans="1:19" ht="18" customHeight="1">
      <c r="A6" t="s">
        <v>210</v>
      </c>
    </row>
    <row r="7" spans="1:19" ht="18" customHeight="1">
      <c r="A7" t="s">
        <v>211</v>
      </c>
    </row>
    <row r="8" spans="1:19" ht="18" customHeight="1">
      <c r="A8" t="s">
        <v>212</v>
      </c>
    </row>
    <row r="9" spans="1:19" ht="18" customHeight="1">
      <c r="A9" t="s">
        <v>213</v>
      </c>
    </row>
    <row r="10" spans="1:19" ht="18" customHeight="1">
      <c r="A10" t="s">
        <v>214</v>
      </c>
    </row>
    <row r="11" spans="1:19" ht="18" customHeight="1">
      <c r="A11" t="s">
        <v>215</v>
      </c>
    </row>
    <row r="12" spans="1:19" ht="18" customHeight="1"/>
    <row r="13" spans="1:19" ht="18" customHeight="1"/>
    <row r="14" spans="1:19" ht="18" customHeight="1"/>
    <row r="15" spans="1:19" ht="18" customHeight="1"/>
  </sheetData>
  <phoneticPr fontId="1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8"/>
  <sheetViews>
    <sheetView workbookViewId="0">
      <selection activeCell="A21" sqref="A21"/>
    </sheetView>
  </sheetViews>
  <sheetFormatPr defaultColWidth="8.6328125" defaultRowHeight="14.5"/>
  <cols>
    <col min="1" max="1" width="45" style="1" customWidth="1"/>
    <col min="2" max="5" width="18" style="1" customWidth="1"/>
    <col min="6" max="6" width="70" style="1" customWidth="1"/>
    <col min="7" max="7" width="4" style="1" customWidth="1"/>
    <col min="8" max="8" width="45" style="1" customWidth="1"/>
    <col min="9" max="12" width="18" style="1" customWidth="1"/>
    <col min="13" max="13" width="70" style="1" customWidth="1"/>
  </cols>
  <sheetData>
    <row r="1" spans="1:13" s="2" customFormat="1" ht="15" customHeight="1">
      <c r="A1" s="92" t="s">
        <v>104</v>
      </c>
      <c r="B1" s="91"/>
      <c r="C1" s="91"/>
      <c r="D1" s="91"/>
      <c r="E1" s="91"/>
      <c r="F1" s="91"/>
      <c r="H1" s="92" t="s">
        <v>105</v>
      </c>
      <c r="I1" s="91"/>
      <c r="J1" s="91"/>
      <c r="K1" s="91"/>
      <c r="L1" s="91"/>
      <c r="M1" s="91"/>
    </row>
    <row r="2" spans="1:13" s="2" customFormat="1" ht="16.5" customHeight="1">
      <c r="A2" s="14" t="s">
        <v>106</v>
      </c>
      <c r="B2" s="15" t="s">
        <v>107</v>
      </c>
      <c r="C2" s="15" t="s">
        <v>108</v>
      </c>
      <c r="D2" s="14" t="s">
        <v>109</v>
      </c>
      <c r="E2" s="14" t="s">
        <v>110</v>
      </c>
      <c r="F2" s="14" t="s">
        <v>111</v>
      </c>
      <c r="H2" s="14" t="s">
        <v>106</v>
      </c>
      <c r="I2" s="15" t="s">
        <v>107</v>
      </c>
      <c r="J2" s="15" t="s">
        <v>177</v>
      </c>
      <c r="K2" s="14" t="s">
        <v>109</v>
      </c>
      <c r="L2" s="14" t="s">
        <v>110</v>
      </c>
      <c r="M2" s="14" t="s">
        <v>111</v>
      </c>
    </row>
    <row r="3" spans="1:13" s="2" customFormat="1" ht="16.5" customHeight="1">
      <c r="A3" s="16" t="s">
        <v>35</v>
      </c>
      <c r="B3" s="17">
        <v>1.1299999999999999</v>
      </c>
      <c r="C3" s="17">
        <v>6.4</v>
      </c>
      <c r="D3" s="18" t="s">
        <v>112</v>
      </c>
      <c r="E3" s="18" t="s">
        <v>113</v>
      </c>
      <c r="F3" s="18" t="s">
        <v>114</v>
      </c>
      <c r="H3" s="16" t="s">
        <v>35</v>
      </c>
      <c r="I3" s="17">
        <v>1.1299999999999999</v>
      </c>
      <c r="J3" s="17">
        <v>6.4</v>
      </c>
      <c r="K3" s="18" t="s">
        <v>115</v>
      </c>
      <c r="L3" s="18" t="s">
        <v>113</v>
      </c>
      <c r="M3" s="18" t="s">
        <v>114</v>
      </c>
    </row>
    <row r="4" spans="1:13" s="2" customFormat="1" ht="16.5" customHeight="1">
      <c r="A4" s="16" t="s">
        <v>116</v>
      </c>
      <c r="B4" s="17">
        <v>0.7</v>
      </c>
      <c r="C4" s="17">
        <v>3.9747840999999999</v>
      </c>
      <c r="D4" s="18" t="s">
        <v>112</v>
      </c>
      <c r="E4" s="18" t="s">
        <v>113</v>
      </c>
      <c r="F4" s="18" t="s">
        <v>114</v>
      </c>
      <c r="H4" s="16" t="s">
        <v>116</v>
      </c>
      <c r="I4" s="17">
        <v>0.7</v>
      </c>
      <c r="J4" s="17">
        <v>3.9747840999999999</v>
      </c>
      <c r="K4" s="18" t="s">
        <v>115</v>
      </c>
      <c r="L4" s="18" t="s">
        <v>113</v>
      </c>
      <c r="M4" s="18" t="s">
        <v>114</v>
      </c>
    </row>
    <row r="5" spans="1:13" s="2" customFormat="1" ht="16.5" customHeight="1">
      <c r="A5" s="16" t="s">
        <v>117</v>
      </c>
      <c r="B5" s="17">
        <v>0.5</v>
      </c>
      <c r="C5" s="17">
        <v>2.8391315000000001</v>
      </c>
      <c r="D5" s="18" t="s">
        <v>112</v>
      </c>
      <c r="E5" s="18" t="s">
        <v>113</v>
      </c>
      <c r="F5" s="18" t="s">
        <v>114</v>
      </c>
      <c r="H5" s="30" t="s">
        <v>168</v>
      </c>
      <c r="I5" s="17">
        <v>1.1499999999999999</v>
      </c>
      <c r="J5" s="17">
        <v>6.5</v>
      </c>
      <c r="K5" s="18" t="s">
        <v>115</v>
      </c>
      <c r="L5" s="18" t="s">
        <v>113</v>
      </c>
      <c r="M5" s="18" t="s">
        <v>114</v>
      </c>
    </row>
    <row r="6" spans="1:13" s="2" customFormat="1" ht="16.5" customHeight="1">
      <c r="A6" s="30" t="s">
        <v>168</v>
      </c>
      <c r="B6" s="17">
        <v>1.1499999999999999</v>
      </c>
      <c r="C6" s="17">
        <v>6.5</v>
      </c>
      <c r="D6" s="18" t="s">
        <v>118</v>
      </c>
      <c r="E6" s="18" t="s">
        <v>113</v>
      </c>
      <c r="F6" s="18" t="s">
        <v>114</v>
      </c>
      <c r="H6" s="30" t="s">
        <v>169</v>
      </c>
      <c r="I6" s="17">
        <v>0.7</v>
      </c>
      <c r="J6" s="17">
        <v>3.9747840999999999</v>
      </c>
      <c r="K6" s="18" t="s">
        <v>115</v>
      </c>
      <c r="L6" s="18" t="s">
        <v>113</v>
      </c>
      <c r="M6" s="18" t="s">
        <v>114</v>
      </c>
    </row>
    <row r="7" spans="1:13" s="2" customFormat="1" ht="16.5" customHeight="1">
      <c r="A7" s="30" t="s">
        <v>169</v>
      </c>
      <c r="B7" s="17">
        <v>0.7</v>
      </c>
      <c r="C7" s="17">
        <v>3.9747840999999999</v>
      </c>
      <c r="D7" s="18" t="s">
        <v>118</v>
      </c>
      <c r="E7" s="18" t="s">
        <v>113</v>
      </c>
      <c r="F7" s="18" t="s">
        <v>114</v>
      </c>
      <c r="H7" s="30" t="s">
        <v>172</v>
      </c>
      <c r="I7" s="17">
        <v>1</v>
      </c>
      <c r="J7" s="17">
        <v>5.6782630000000003</v>
      </c>
      <c r="K7" s="18" t="s">
        <v>115</v>
      </c>
      <c r="L7" s="18" t="s">
        <v>113</v>
      </c>
      <c r="M7" s="18" t="s">
        <v>114</v>
      </c>
    </row>
    <row r="8" spans="1:13" s="2" customFormat="1" ht="16.5" customHeight="1">
      <c r="A8" s="30" t="s">
        <v>170</v>
      </c>
      <c r="B8" s="17">
        <v>0.5</v>
      </c>
      <c r="C8" s="17">
        <v>2.8391315000000001</v>
      </c>
      <c r="D8" s="18" t="s">
        <v>118</v>
      </c>
      <c r="E8" s="18" t="s">
        <v>113</v>
      </c>
      <c r="F8" s="18" t="s">
        <v>114</v>
      </c>
      <c r="H8" s="30" t="s">
        <v>175</v>
      </c>
      <c r="I8" s="17">
        <v>0.6</v>
      </c>
      <c r="J8" s="17">
        <v>3.4069577999999998</v>
      </c>
      <c r="K8" s="18" t="s">
        <v>115</v>
      </c>
      <c r="L8" s="18" t="s">
        <v>113</v>
      </c>
      <c r="M8" s="18" t="s">
        <v>114</v>
      </c>
    </row>
    <row r="9" spans="1:13" s="2" customFormat="1" ht="16.5" customHeight="1">
      <c r="A9" s="30" t="s">
        <v>171</v>
      </c>
      <c r="B9" s="17">
        <v>0.6</v>
      </c>
      <c r="C9" s="17">
        <v>3.4069577999999998</v>
      </c>
      <c r="D9" s="18" t="s">
        <v>119</v>
      </c>
      <c r="E9" s="18" t="s">
        <v>113</v>
      </c>
      <c r="F9" s="18" t="s">
        <v>114</v>
      </c>
      <c r="H9" s="30" t="s">
        <v>174</v>
      </c>
      <c r="I9" s="17">
        <v>0.5</v>
      </c>
      <c r="J9" s="17">
        <v>2.8391315000000001</v>
      </c>
      <c r="K9" s="18" t="s">
        <v>115</v>
      </c>
      <c r="L9" s="18" t="s">
        <v>113</v>
      </c>
      <c r="M9" s="18" t="s">
        <v>114</v>
      </c>
    </row>
    <row r="10" spans="1:13" s="2" customFormat="1" ht="16.5" customHeight="1">
      <c r="A10" s="30" t="s">
        <v>172</v>
      </c>
      <c r="B10" s="17">
        <v>1</v>
      </c>
      <c r="C10" s="17">
        <v>5.6782630000000003</v>
      </c>
      <c r="D10" s="18" t="s">
        <v>120</v>
      </c>
      <c r="E10" s="18" t="s">
        <v>113</v>
      </c>
      <c r="F10" s="18" t="s">
        <v>114</v>
      </c>
      <c r="H10" s="18" t="s">
        <v>121</v>
      </c>
      <c r="I10" s="17">
        <v>0.5</v>
      </c>
      <c r="J10" s="17">
        <v>2.8391315000000001</v>
      </c>
      <c r="K10" s="18" t="s">
        <v>122</v>
      </c>
      <c r="L10" s="18" t="s">
        <v>113</v>
      </c>
      <c r="M10" s="18" t="s">
        <v>114</v>
      </c>
    </row>
    <row r="11" spans="1:13" s="2" customFormat="1" ht="16.5" customHeight="1">
      <c r="A11" s="30" t="s">
        <v>173</v>
      </c>
      <c r="B11" s="17">
        <v>1.1399999999999999</v>
      </c>
      <c r="C11" s="17">
        <v>6.4732198199999997</v>
      </c>
      <c r="D11" s="18" t="s">
        <v>120</v>
      </c>
      <c r="E11" s="18" t="s">
        <v>123</v>
      </c>
      <c r="F11" s="18" t="s">
        <v>114</v>
      </c>
      <c r="H11" s="18" t="s">
        <v>124</v>
      </c>
      <c r="I11" s="17">
        <v>0.1</v>
      </c>
      <c r="J11" s="17">
        <v>0.56782630000000001</v>
      </c>
      <c r="K11" s="18" t="s">
        <v>122</v>
      </c>
      <c r="L11" s="18" t="s">
        <v>113</v>
      </c>
      <c r="M11" s="18" t="s">
        <v>114</v>
      </c>
    </row>
    <row r="12" spans="1:13" s="2" customFormat="1" ht="16.5" customHeight="1">
      <c r="A12" s="30" t="s">
        <v>175</v>
      </c>
      <c r="B12" s="17">
        <v>0.6</v>
      </c>
      <c r="C12" s="17">
        <v>3.4069577999999998</v>
      </c>
      <c r="D12" s="18" t="s">
        <v>120</v>
      </c>
      <c r="E12" s="18" t="s">
        <v>113</v>
      </c>
      <c r="F12" s="18" t="s">
        <v>114</v>
      </c>
      <c r="H12" s="18" t="s">
        <v>125</v>
      </c>
      <c r="I12" s="17">
        <v>0.7</v>
      </c>
      <c r="J12" s="17">
        <v>3.9747840999999999</v>
      </c>
      <c r="K12" s="18" t="s">
        <v>122</v>
      </c>
      <c r="L12" s="18" t="s">
        <v>113</v>
      </c>
      <c r="M12" s="18" t="s">
        <v>114</v>
      </c>
    </row>
    <row r="13" spans="1:13" s="2" customFormat="1" ht="16.5" customHeight="1">
      <c r="A13" s="30" t="s">
        <v>174</v>
      </c>
      <c r="B13" s="17">
        <v>0.5</v>
      </c>
      <c r="C13" s="17">
        <v>2.8391315000000001</v>
      </c>
      <c r="D13" s="18" t="s">
        <v>120</v>
      </c>
      <c r="E13" s="18" t="s">
        <v>113</v>
      </c>
      <c r="F13" s="18" t="s">
        <v>114</v>
      </c>
      <c r="H13" s="18" t="s">
        <v>126</v>
      </c>
      <c r="I13" s="17">
        <v>0.8</v>
      </c>
      <c r="J13" s="17">
        <v>4.5426104</v>
      </c>
      <c r="K13" s="18" t="s">
        <v>122</v>
      </c>
      <c r="L13" s="18" t="s">
        <v>113</v>
      </c>
      <c r="M13" s="18" t="s">
        <v>114</v>
      </c>
    </row>
    <row r="14" spans="1:13" s="2" customFormat="1" ht="16.5" customHeight="1">
      <c r="A14" s="10"/>
      <c r="B14" s="10"/>
      <c r="C14" s="10"/>
      <c r="D14" s="10"/>
      <c r="E14" s="10"/>
      <c r="F14" s="10"/>
      <c r="H14" s="16" t="s">
        <v>127</v>
      </c>
      <c r="I14" s="17">
        <v>0.13</v>
      </c>
      <c r="J14" s="17">
        <v>0.73817418999999995</v>
      </c>
      <c r="K14" s="18" t="s">
        <v>122</v>
      </c>
      <c r="L14" s="18" t="s">
        <v>113</v>
      </c>
      <c r="M14" s="18" t="s">
        <v>114</v>
      </c>
    </row>
    <row r="15" spans="1:13" s="2" customFormat="1" ht="16.5" customHeight="1">
      <c r="A15" s="10"/>
      <c r="B15" s="10"/>
      <c r="C15" s="10"/>
      <c r="D15" s="10"/>
      <c r="E15" s="10"/>
      <c r="F15" s="10"/>
      <c r="H15" s="16" t="s">
        <v>128</v>
      </c>
      <c r="I15" s="17">
        <v>0.2</v>
      </c>
      <c r="J15" s="17">
        <v>1.1356526</v>
      </c>
      <c r="K15" s="18" t="s">
        <v>122</v>
      </c>
      <c r="L15" s="18" t="s">
        <v>113</v>
      </c>
      <c r="M15" s="18" t="s">
        <v>114</v>
      </c>
    </row>
    <row r="16" spans="1:13" s="2" customFormat="1" ht="16.5" customHeight="1">
      <c r="A16" s="10"/>
      <c r="B16" s="10"/>
      <c r="C16" s="10"/>
      <c r="D16" s="10"/>
      <c r="E16" s="10"/>
      <c r="F16" s="10"/>
      <c r="H16" s="18" t="s">
        <v>129</v>
      </c>
      <c r="I16" s="17">
        <v>1.1000000000000001</v>
      </c>
      <c r="J16" s="17">
        <v>6.2460893000000004</v>
      </c>
      <c r="K16" s="18" t="s">
        <v>122</v>
      </c>
      <c r="L16" s="18" t="s">
        <v>113</v>
      </c>
      <c r="M16" s="18" t="s">
        <v>114</v>
      </c>
    </row>
    <row r="17" spans="1:13" s="2" customFormat="1" ht="16.5" customHeight="1">
      <c r="A17" s="19" t="s">
        <v>130</v>
      </c>
      <c r="B17" s="93" t="s">
        <v>131</v>
      </c>
      <c r="C17" s="94"/>
      <c r="D17" s="94"/>
      <c r="E17" s="94"/>
      <c r="F17" s="94"/>
      <c r="H17" s="18" t="s">
        <v>132</v>
      </c>
      <c r="I17" s="17">
        <v>0.1</v>
      </c>
      <c r="J17" s="17">
        <v>0.56782630000000001</v>
      </c>
      <c r="K17" s="18" t="s">
        <v>122</v>
      </c>
      <c r="L17" s="18" t="s">
        <v>113</v>
      </c>
      <c r="M17" s="18" t="s">
        <v>114</v>
      </c>
    </row>
    <row r="18" spans="1:13" s="2" customFormat="1" ht="16.5" customHeight="1">
      <c r="A18" s="10"/>
      <c r="B18" s="10"/>
      <c r="C18" s="10"/>
      <c r="D18" s="10"/>
      <c r="E18" s="10"/>
      <c r="F18" s="10"/>
      <c r="H18" s="18" t="s">
        <v>133</v>
      </c>
      <c r="I18" s="17">
        <v>0.12</v>
      </c>
      <c r="J18" s="17">
        <v>0.68139156000000001</v>
      </c>
      <c r="K18" s="18" t="s">
        <v>122</v>
      </c>
      <c r="L18" s="18" t="s">
        <v>113</v>
      </c>
      <c r="M18" s="18" t="s">
        <v>114</v>
      </c>
    </row>
  </sheetData>
  <mergeCells count="3">
    <mergeCell ref="A1:F1"/>
    <mergeCell ref="B17:F17"/>
    <mergeCell ref="H1:M1"/>
  </mergeCells>
  <phoneticPr fontId="1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1"/>
  <sheetViews>
    <sheetView workbookViewId="0">
      <selection activeCell="F5" sqref="F5"/>
    </sheetView>
  </sheetViews>
  <sheetFormatPr defaultColWidth="8.6328125" defaultRowHeight="14.5"/>
  <cols>
    <col min="1" max="1" width="18" style="1" customWidth="1"/>
    <col min="2" max="2" width="85" style="1" customWidth="1"/>
    <col min="3" max="3" width="6" style="1" customWidth="1"/>
  </cols>
  <sheetData>
    <row r="1" spans="1:2" s="2" customFormat="1" ht="16.5" customHeight="1" thickBot="1">
      <c r="A1" s="95" t="s">
        <v>134</v>
      </c>
      <c r="B1" s="96"/>
    </row>
    <row r="2" spans="1:2" s="2" customFormat="1" ht="15" customHeight="1">
      <c r="A2" s="61" t="s">
        <v>73</v>
      </c>
      <c r="B2" s="62" t="s">
        <v>135</v>
      </c>
    </row>
    <row r="3" spans="1:2" s="2" customFormat="1" ht="32.25" customHeight="1">
      <c r="A3" s="40" t="s">
        <v>136</v>
      </c>
      <c r="B3" s="63" t="s">
        <v>137</v>
      </c>
    </row>
    <row r="4" spans="1:2" s="2" customFormat="1" ht="32.25" customHeight="1">
      <c r="A4" s="40" t="s">
        <v>138</v>
      </c>
      <c r="B4" s="64" t="s">
        <v>185</v>
      </c>
    </row>
    <row r="5" spans="1:2" s="2" customFormat="1" ht="16.5" customHeight="1">
      <c r="A5" s="40" t="s">
        <v>139</v>
      </c>
      <c r="B5" s="65" t="s">
        <v>189</v>
      </c>
    </row>
    <row r="6" spans="1:2" s="2" customFormat="1" ht="16.5" customHeight="1">
      <c r="A6" s="40" t="s">
        <v>140</v>
      </c>
      <c r="B6" s="65" t="s">
        <v>141</v>
      </c>
    </row>
    <row r="7" spans="1:2" s="2" customFormat="1" ht="32.25" customHeight="1">
      <c r="A7" s="40" t="s">
        <v>142</v>
      </c>
      <c r="B7" s="65" t="s">
        <v>188</v>
      </c>
    </row>
    <row r="8" spans="1:2" s="2" customFormat="1" ht="32.25" customHeight="1">
      <c r="A8" s="34" t="s">
        <v>143</v>
      </c>
      <c r="B8" s="65" t="s">
        <v>187</v>
      </c>
    </row>
    <row r="9" spans="1:2" s="2" customFormat="1" ht="32.25" customHeight="1">
      <c r="A9" s="40" t="s">
        <v>56</v>
      </c>
      <c r="B9" s="65" t="s">
        <v>186</v>
      </c>
    </row>
    <row r="10" spans="1:2" s="2" customFormat="1" ht="16.5" customHeight="1">
      <c r="A10" s="40" t="s">
        <v>144</v>
      </c>
      <c r="B10" s="65" t="s">
        <v>145</v>
      </c>
    </row>
    <row r="11" spans="1:2" s="2" customFormat="1" ht="16.5" customHeight="1" thickBot="1">
      <c r="A11" s="42" t="s">
        <v>146</v>
      </c>
      <c r="B11" s="66" t="s">
        <v>147</v>
      </c>
    </row>
  </sheetData>
  <mergeCells count="1">
    <mergeCell ref="A1:B1"/>
  </mergeCells>
  <phoneticPr fontId="1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3"/>
  <sheetViews>
    <sheetView tabSelected="1" workbookViewId="0">
      <selection activeCell="A22" sqref="A22"/>
    </sheetView>
  </sheetViews>
  <sheetFormatPr defaultColWidth="8.6328125" defaultRowHeight="14.5"/>
  <cols>
    <col min="1" max="1" width="20" style="1" customWidth="1"/>
    <col min="2" max="2" width="16" style="1" customWidth="1"/>
    <col min="3" max="3" width="18" style="1" customWidth="1"/>
    <col min="4" max="4" width="4" style="1" customWidth="1"/>
    <col min="5" max="6" width="16" style="1" customWidth="1"/>
    <col min="7" max="7" width="4" style="1" customWidth="1"/>
    <col min="8" max="8" width="14" style="1" hidden="1" customWidth="1"/>
    <col min="9" max="9" width="18" style="1" hidden="1" customWidth="1"/>
  </cols>
  <sheetData>
    <row r="1" spans="1:9" s="2" customFormat="1" ht="16.5" customHeight="1" thickBot="1">
      <c r="A1" s="99" t="s">
        <v>148</v>
      </c>
      <c r="B1" s="99"/>
      <c r="C1" s="99"/>
      <c r="D1" s="99"/>
      <c r="H1" s="20" t="s">
        <v>149</v>
      </c>
      <c r="I1" s="21">
        <f>MIN(B4:B6)-3</f>
        <v>22.906087922731857</v>
      </c>
    </row>
    <row r="2" spans="1:9" s="2" customFormat="1" ht="16.5" customHeight="1">
      <c r="A2" s="97" t="s">
        <v>150</v>
      </c>
      <c r="B2" s="98"/>
      <c r="C2" s="98"/>
      <c r="H2" s="20" t="s">
        <v>151</v>
      </c>
      <c r="I2" s="21">
        <f>MAX(B4:B6)+3</f>
        <v>36.319871743717179</v>
      </c>
    </row>
    <row r="3" spans="1:9" s="2" customFormat="1" ht="16.5" customHeight="1">
      <c r="A3" s="12" t="s">
        <v>152</v>
      </c>
      <c r="B3" s="12" t="s">
        <v>153</v>
      </c>
      <c r="C3" s="12" t="s">
        <v>154</v>
      </c>
      <c r="H3" s="20" t="s">
        <v>155</v>
      </c>
      <c r="I3" s="21">
        <f>MIN(C4:C6)-10</f>
        <v>42</v>
      </c>
    </row>
    <row r="4" spans="1:9" s="2" customFormat="1" ht="16.5" customHeight="1">
      <c r="A4" s="28" t="s">
        <v>165</v>
      </c>
      <c r="B4" s="21">
        <f>Model!B14</f>
        <v>32</v>
      </c>
      <c r="C4" s="21">
        <f>Model!B15*100</f>
        <v>52</v>
      </c>
      <c r="H4" s="20" t="s">
        <v>156</v>
      </c>
      <c r="I4" s="21">
        <f>MAX(C4:C6)+10</f>
        <v>95.39483671767249</v>
      </c>
    </row>
    <row r="5" spans="1:9" s="2" customFormat="1" ht="16.5" customHeight="1">
      <c r="A5" s="28" t="s">
        <v>166</v>
      </c>
      <c r="B5" s="21">
        <f>Model!J34</f>
        <v>33.319871743717179</v>
      </c>
      <c r="C5" s="21">
        <f>Model!J36*100</f>
        <v>78.012992965385749</v>
      </c>
    </row>
    <row r="6" spans="1:9" s="2" customFormat="1" ht="16.5" customHeight="1">
      <c r="A6" s="28" t="s">
        <v>167</v>
      </c>
      <c r="B6" s="21">
        <f>IF(Model!B19&gt;0,Model!J24,Model!B14)</f>
        <v>25.906087922731857</v>
      </c>
      <c r="C6" s="21">
        <f>IF(Model!B19&gt;0,Model!J30*100,Model!B15*100)</f>
        <v>85.39483671767249</v>
      </c>
      <c r="H6" s="22" t="s">
        <v>157</v>
      </c>
      <c r="I6" s="22" t="s">
        <v>158</v>
      </c>
    </row>
    <row r="7" spans="1:9" s="2" customFormat="1" ht="15" customHeight="1">
      <c r="A7" s="97" t="s">
        <v>159</v>
      </c>
      <c r="B7" s="98"/>
      <c r="C7" s="98"/>
      <c r="H7" s="23">
        <f>I1</f>
        <v>22.906087922731857</v>
      </c>
      <c r="I7" s="23">
        <f>I3</f>
        <v>42</v>
      </c>
    </row>
    <row r="8" spans="1:9" s="2" customFormat="1" ht="16.5" customHeight="1">
      <c r="A8" s="23" t="s">
        <v>160</v>
      </c>
      <c r="H8" s="23">
        <f>I1</f>
        <v>22.906087922731857</v>
      </c>
      <c r="I8" s="23">
        <f>I4</f>
        <v>95.39483671767249</v>
      </c>
    </row>
    <row r="9" spans="1:9" s="2" customFormat="1" ht="16.5" customHeight="1">
      <c r="A9" s="23" t="s">
        <v>161</v>
      </c>
      <c r="H9" s="23">
        <f>I2</f>
        <v>36.319871743717179</v>
      </c>
      <c r="I9" s="23">
        <f>I3</f>
        <v>42</v>
      </c>
    </row>
    <row r="10" spans="1:9" s="2" customFormat="1" ht="43" customHeight="1">
      <c r="A10" s="100" t="s">
        <v>164</v>
      </c>
      <c r="B10" s="100"/>
      <c r="C10" s="100"/>
      <c r="D10" s="100"/>
      <c r="E10" s="27"/>
      <c r="F10" s="27"/>
      <c r="H10" s="23">
        <f>I2</f>
        <v>36.319871743717179</v>
      </c>
      <c r="I10" s="23">
        <f>I4</f>
        <v>95.39483671767249</v>
      </c>
    </row>
    <row r="12" spans="1:9">
      <c r="A12" s="104" t="s">
        <v>217</v>
      </c>
      <c r="B12" s="103">
        <f>Model!B16</f>
        <v>1</v>
      </c>
      <c r="C12" s="103" t="str">
        <f>Model!C16</f>
        <v>m³/m²/min</v>
      </c>
    </row>
    <row r="13" spans="1:9">
      <c r="A13" s="104" t="s">
        <v>218</v>
      </c>
      <c r="B13" s="103">
        <f>Model!B17</f>
        <v>9</v>
      </c>
      <c r="C13" s="103" t="str">
        <f>Model!C17</f>
        <v>g/m²/min</v>
      </c>
    </row>
  </sheetData>
  <mergeCells count="4">
    <mergeCell ref="A7:C7"/>
    <mergeCell ref="A2:C2"/>
    <mergeCell ref="A1:D1"/>
    <mergeCell ref="A10:D10"/>
  </mergeCells>
  <phoneticPr fontId="11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Model</vt:lpstr>
      <vt:lpstr>Batch</vt:lpstr>
      <vt:lpstr>Materials</vt:lpstr>
      <vt:lpstr>Notes</vt:lpstr>
      <vt:lpstr>VETH圖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FangWei</cp:lastModifiedBy>
  <dcterms:modified xsi:type="dcterms:W3CDTF">2026-03-30T16:34:53Z</dcterms:modified>
</cp:coreProperties>
</file>