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fang\Desktop\for Codex to convert\"/>
    </mc:Choice>
  </mc:AlternateContent>
  <xr:revisionPtr revIDLastSave="0" documentId="13_ncr:1_{A545EAA3-E435-47AD-8729-E8D6A5AD3C18}" xr6:coauthVersionLast="36" xr6:coauthVersionMax="36" xr10:uidLastSave="{00000000-0000-0000-0000-000000000000}"/>
  <bookViews>
    <workbookView xWindow="0" yWindow="0" windowWidth="16150" windowHeight="6380" firstSheet="1" activeTab="3" xr2:uid="{7BE64B04-D49A-4E2E-B138-9B5CBA626C30}"/>
  </bookViews>
  <sheets>
    <sheet name="PF CO2 Balance" sheetId="2" r:id="rId1"/>
    <sheet name="PF water Balance " sheetId="3" r:id="rId2"/>
    <sheet name="PF Energy Balance " sheetId="6" r:id="rId3"/>
    <sheet name="PF simulation" sheetId="7" r:id="rId4"/>
  </sheets>
  <externalReferences>
    <externalReference r:id="rId5"/>
  </externalReferences>
  <definedNames>
    <definedName name="ACH">'[1]chap22_PF simulation'!$H$21</definedName>
    <definedName name="CN">'[1]chap22_PF simulation'!$R$4</definedName>
    <definedName name="CO2in_mg">'[1]chap22_PF simulation'!$F$14</definedName>
    <definedName name="CO2out_mg">'[1]chap22_PF simulation'!$F$15</definedName>
    <definedName name="CV">'[1]chap22_PF simulation'!$R$5</definedName>
    <definedName name="DarkResp">'[1]chap22_PF simulation'!$G$10</definedName>
    <definedName name="DeH">'[1]chap22_PF simulation'!$R$12</definedName>
    <definedName name="Densityin">'[1]chap22_PF simulation'!$G$12</definedName>
    <definedName name="Enth_in">'[1]chap22_PF simulation'!$H$12</definedName>
    <definedName name="Enth_out">'[1]chap22_PF simulation'!$H$13</definedName>
    <definedName name="Gc">'[1]chap22_PF simulation'!$G$6</definedName>
    <definedName name="GI">'[1]chap22_PF simulation'!$G$5</definedName>
    <definedName name="GTI">'[1]chap22_PF simulation'!$G$8</definedName>
    <definedName name="Height">'[1]chap22_PF simulation'!$D$21</definedName>
    <definedName name="Kw">'[1]chap22_PF simulation'!$T$15</definedName>
    <definedName name="LAperPlt">'[1]chap22_PF simulation'!$K$20</definedName>
    <definedName name="Length">'[1]chap22_PF simulation'!$D$19</definedName>
    <definedName name="NetPho">'[1]chap22_PF simulation'!$K$10</definedName>
    <definedName name="NofLamp">'[1]chap22_PF simulation'!$H$23</definedName>
    <definedName name="NoofPlt">'[1]chap22_PF simulation'!$K$21</definedName>
    <definedName name="PhoResp">'[1]chap22_PF simulation'!$K$9</definedName>
    <definedName name="PhotoS">'[1]chap22_PF simulation'!$K$8</definedName>
    <definedName name="Pmax">'[1]chap22_PF simulation'!$D$2</definedName>
    <definedName name="QC">'[1]chap22_PF simulation'!$R$19</definedName>
    <definedName name="QV">'[1]chap22_PF simulation'!$R$18</definedName>
    <definedName name="RatioPhoResp">'[1]chap22_PF simulation'!$G$9</definedName>
    <definedName name="Rav">'[1]chap22_PF simulation'!$K$15</definedName>
    <definedName name="Rd20C">'[1]chap22_PF simulation'!$D$10</definedName>
    <definedName name="Rlv">'[1]chap22_PF simulation'!$K$14</definedName>
    <definedName name="Rlv_inc">'[1]chap22_PF simulation'!$K$16</definedName>
    <definedName name="Tin">'[1]chap22_PF simulation'!$D$12</definedName>
    <definedName name="TotalWofLamp">'[1]chap22_PF simulation'!$K$25</definedName>
    <definedName name="Tout">'[1]chap22_PF simulation'!$D$13</definedName>
    <definedName name="TR">'[1]chap22_PF simulation'!$R$9</definedName>
    <definedName name="Transp_rate">'[1]chap22_PF simulation'!$K$17</definedName>
    <definedName name="Vdin">'[1]chap22_PF simulation'!$K$12</definedName>
    <definedName name="Vdout">'[1]chap22_PF simulation'!$K$13</definedName>
    <definedName name="VolofRoom">'[1]chap22_PF simulation'!$H$19</definedName>
    <definedName name="VW">'[1]chap22_PF simulation'!$R$11</definedName>
    <definedName name="We">'[1]chap22_PF simulation'!$R$17</definedName>
    <definedName name="Width">'[1]chap22_PF simulation'!$D$20</definedName>
    <definedName name="WL">'[1]chap22_PF simulation'!$R$16</definedName>
    <definedName name="Wofequip">'[1]chap22_PF simulation'!$D$26</definedName>
    <definedName name="WperLamp">'[1]chap22_PF simulation'!$D$24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7" l="1"/>
  <c r="R24" i="7" s="1"/>
  <c r="R22" i="7"/>
  <c r="R21" i="7"/>
  <c r="E11" i="6" l="1"/>
  <c r="E10" i="6"/>
  <c r="F11" i="6"/>
  <c r="F10" i="6"/>
  <c r="I11" i="6"/>
  <c r="I10" i="6"/>
  <c r="J11" i="6"/>
  <c r="J10" i="6"/>
  <c r="F5" i="6"/>
  <c r="F8" i="7"/>
  <c r="G7" i="7" s="1"/>
  <c r="F15" i="7"/>
  <c r="F16" i="7"/>
  <c r="G10" i="7"/>
  <c r="K24" i="7"/>
  <c r="K15" i="7"/>
  <c r="H20" i="7"/>
  <c r="R23" i="7" s="1"/>
  <c r="K16" i="7"/>
  <c r="H14" i="7"/>
  <c r="K14" i="7" s="1"/>
  <c r="H13" i="7"/>
  <c r="K13" i="7" s="1"/>
  <c r="G11" i="7"/>
  <c r="G5" i="7"/>
  <c r="G6" i="7" l="1"/>
  <c r="G3" i="7" s="1"/>
  <c r="R25" i="7"/>
  <c r="R13" i="7"/>
  <c r="K17" i="7"/>
  <c r="K18" i="7" s="1"/>
  <c r="R12" i="7" s="1"/>
  <c r="R5" i="7"/>
  <c r="G4" i="7" l="1"/>
  <c r="K5" i="7" s="1"/>
  <c r="R15" i="7"/>
  <c r="K4" i="7" l="1"/>
  <c r="K3" i="7"/>
  <c r="H4" i="3"/>
  <c r="K9" i="7" l="1"/>
  <c r="K10" i="7" s="1"/>
  <c r="K11" i="7" s="1"/>
  <c r="R4" i="7" s="1"/>
  <c r="R6" i="7" s="1"/>
  <c r="G4" i="2"/>
  <c r="G8" i="2"/>
  <c r="G7" i="2"/>
  <c r="F7" i="6"/>
  <c r="L10" i="6"/>
  <c r="M10" i="6" s="1"/>
  <c r="N10" i="6" s="1"/>
  <c r="O10" i="6" s="1"/>
  <c r="L11" i="6"/>
  <c r="M11" i="6" s="1"/>
  <c r="N11" i="6" s="1"/>
  <c r="O11" i="6" s="1"/>
  <c r="G10" i="6"/>
  <c r="G11" i="6"/>
  <c r="G14" i="6"/>
  <c r="F14" i="6" l="1"/>
  <c r="H14" i="6" s="1"/>
  <c r="H10" i="6"/>
  <c r="K10" i="6" s="1"/>
  <c r="G4" i="3"/>
  <c r="E6" i="3"/>
  <c r="E8" i="3"/>
  <c r="E9" i="3"/>
  <c r="G11" i="2"/>
  <c r="H11" i="2"/>
  <c r="I11" i="2" l="1"/>
  <c r="H11" i="6"/>
  <c r="K11" i="6" s="1"/>
  <c r="G8" i="3"/>
</calcChain>
</file>

<file path=xl/sharedStrings.xml><?xml version="1.0" encoding="utf-8"?>
<sst xmlns="http://schemas.openxmlformats.org/spreadsheetml/2006/main" count="241" uniqueCount="215">
  <si>
    <t>CO2mg = CO2ppm x 44.01/22.4 x 273/(273+T)</t>
    <phoneticPr fontId="4" type="noConversion"/>
  </si>
  <si>
    <t>H/W/L: Height/Width/Length of the room, m</t>
    <phoneticPr fontId="4" type="noConversion"/>
  </si>
  <si>
    <t>ACH: Air change per hour, 1/h</t>
    <phoneticPr fontId="4" type="noConversion"/>
  </si>
  <si>
    <t>L: Total leaf area, m2/room</t>
    <phoneticPr fontId="4" type="noConversion"/>
  </si>
  <si>
    <t>Pn: Net photosynthetic rate per leave area, mg/m2/s</t>
    <phoneticPr fontId="4" type="noConversion"/>
  </si>
  <si>
    <t>Cn = Pn x L</t>
    <phoneticPr fontId="4" type="noConversion"/>
  </si>
  <si>
    <t>Cv: Rate of CO2 release by air change, mg/s/room</t>
    <phoneticPr fontId="4" type="noConversion"/>
  </si>
  <si>
    <t>ACH</t>
    <phoneticPr fontId="4" type="noConversion"/>
  </si>
  <si>
    <r>
      <t>Vr (m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  <phoneticPr fontId="4" type="noConversion"/>
  </si>
  <si>
    <t>Room height (m)</t>
    <phoneticPr fontId="4" type="noConversion"/>
  </si>
  <si>
    <t>Room width (m)</t>
    <phoneticPr fontId="4" type="noConversion"/>
  </si>
  <si>
    <t>Room length (m)</t>
    <phoneticPr fontId="4" type="noConversion"/>
  </si>
  <si>
    <r>
      <t>Pn (mg/m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s)</t>
    </r>
    <phoneticPr fontId="4" type="noConversion"/>
  </si>
  <si>
    <t>Num. of plants (plant/room)</t>
    <phoneticPr fontId="4" type="noConversion"/>
  </si>
  <si>
    <r>
      <t>Leaf Area, LA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/plant)</t>
    </r>
    <phoneticPr fontId="4" type="noConversion"/>
  </si>
  <si>
    <r>
      <t>Tr (mg/m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s)</t>
    </r>
    <phoneticPr fontId="4" type="noConversion"/>
  </si>
  <si>
    <r>
      <t>Kw (J/s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C)</t>
    </r>
    <phoneticPr fontId="4" type="noConversion"/>
  </si>
  <si>
    <t>W/room</t>
    <phoneticPr fontId="11" type="noConversion"/>
  </si>
  <si>
    <t>W of other equip.</t>
    <phoneticPr fontId="11" type="noConversion"/>
  </si>
  <si>
    <t>Total W of lamps</t>
    <phoneticPr fontId="11" type="noConversion"/>
  </si>
  <si>
    <t>W per lamp</t>
    <phoneticPr fontId="11" type="noConversion"/>
  </si>
  <si>
    <t>plt/room</t>
    <phoneticPr fontId="11" type="noConversion"/>
  </si>
  <si>
    <t>1/h</t>
    <phoneticPr fontId="11" type="noConversion"/>
  </si>
  <si>
    <t>ACH</t>
    <phoneticPr fontId="11" type="noConversion"/>
  </si>
  <si>
    <t>m</t>
    <phoneticPr fontId="11" type="noConversion"/>
  </si>
  <si>
    <t>Room height</t>
    <phoneticPr fontId="11" type="noConversion"/>
  </si>
  <si>
    <t>Heat carry away by AC (Qa)</t>
    <phoneticPr fontId="11" type="noConversion"/>
  </si>
  <si>
    <t>m2/plt</t>
    <phoneticPr fontId="11" type="noConversion"/>
  </si>
  <si>
    <t>m2</t>
    <phoneticPr fontId="11" type="noConversion"/>
  </si>
  <si>
    <t>Room width</t>
    <phoneticPr fontId="11" type="noConversion"/>
  </si>
  <si>
    <t>Heat loss by conduction (Qc)</t>
    <phoneticPr fontId="11" type="noConversion"/>
  </si>
  <si>
    <t>m3</t>
    <phoneticPr fontId="11" type="noConversion"/>
  </si>
  <si>
    <t>Room length</t>
    <phoneticPr fontId="11" type="noConversion"/>
  </si>
  <si>
    <t>Heat loss by ventilation (Qv)</t>
    <phoneticPr fontId="11" type="noConversion"/>
  </si>
  <si>
    <r>
      <t>Total W of other equipment (W</t>
    </r>
    <r>
      <rPr>
        <vertAlign val="subscript"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Arial"/>
        <family val="2"/>
      </rPr>
      <t>)</t>
    </r>
    <phoneticPr fontId="11" type="noConversion"/>
  </si>
  <si>
    <t>mg/(m2.s)</t>
    <phoneticPr fontId="11" type="noConversion"/>
  </si>
  <si>
    <t>TR</t>
    <phoneticPr fontId="11" type="noConversion"/>
  </si>
  <si>
    <r>
      <t>Total W of lamps (W</t>
    </r>
    <r>
      <rPr>
        <vertAlign val="subscript"/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Arial"/>
        <family val="2"/>
      </rPr>
      <t>)</t>
    </r>
    <phoneticPr fontId="11" type="noConversion"/>
  </si>
  <si>
    <t>s/m</t>
    <phoneticPr fontId="11" type="noConversion"/>
  </si>
  <si>
    <t>Inc. of Rlv</t>
    <phoneticPr fontId="11" type="noConversion"/>
  </si>
  <si>
    <t>Energy balance</t>
    <phoneticPr fontId="11" type="noConversion"/>
  </si>
  <si>
    <t>Rav</t>
    <phoneticPr fontId="11" type="noConversion"/>
  </si>
  <si>
    <t>mg/m3</t>
    <phoneticPr fontId="11" type="noConversion"/>
  </si>
  <si>
    <t>Rlv</t>
    <phoneticPr fontId="11" type="noConversion"/>
  </si>
  <si>
    <t>g/m3</t>
    <phoneticPr fontId="11" type="noConversion"/>
  </si>
  <si>
    <t>Vd out</t>
    <phoneticPr fontId="11" type="noConversion"/>
  </si>
  <si>
    <t>mg/(s.room)</t>
    <phoneticPr fontId="11" type="noConversion"/>
  </si>
  <si>
    <t>Dehumidification (D)</t>
    <phoneticPr fontId="11" type="noConversion"/>
  </si>
  <si>
    <t>Vd in</t>
    <phoneticPr fontId="11" type="noConversion"/>
  </si>
  <si>
    <r>
      <t>Water loss by ventilation (V</t>
    </r>
    <r>
      <rPr>
        <vertAlign val="subscript"/>
        <sz val="12"/>
        <color theme="1"/>
        <rFont val="新細明體"/>
        <family val="1"/>
        <charset val="136"/>
        <scheme val="minor"/>
      </rPr>
      <t>W</t>
    </r>
    <r>
      <rPr>
        <sz val="12"/>
        <color theme="1"/>
        <rFont val="Arial"/>
        <family val="2"/>
      </rPr>
      <t>)</t>
    </r>
    <phoneticPr fontId="11" type="noConversion"/>
  </si>
  <si>
    <t>Vps</t>
    <phoneticPr fontId="11" type="noConversion"/>
  </si>
  <si>
    <t>Environment</t>
    <phoneticPr fontId="11" type="noConversion"/>
  </si>
  <si>
    <t>Humidification (H)</t>
    <phoneticPr fontId="11" type="noConversion"/>
  </si>
  <si>
    <t>mg/(m2.s)</t>
  </si>
  <si>
    <t>Net Photos.</t>
    <phoneticPr fontId="11" type="noConversion"/>
  </si>
  <si>
    <t>mg/(m2s)</t>
    <phoneticPr fontId="11" type="noConversion"/>
  </si>
  <si>
    <t>Rd</t>
    <phoneticPr fontId="11" type="noConversion"/>
  </si>
  <si>
    <t>Rd(20C)</t>
    <phoneticPr fontId="11" type="noConversion"/>
  </si>
  <si>
    <r>
      <t>Transpiration rate of room (T</t>
    </r>
    <r>
      <rPr>
        <vertAlign val="subscript"/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Arial"/>
        <family val="2"/>
      </rPr>
      <t>)</t>
    </r>
    <phoneticPr fontId="11" type="noConversion"/>
  </si>
  <si>
    <t>Photorespiration</t>
    <phoneticPr fontId="11" type="noConversion"/>
  </si>
  <si>
    <t>Kpr</t>
    <phoneticPr fontId="11" type="noConversion"/>
  </si>
  <si>
    <t>a</t>
    <phoneticPr fontId="11" type="noConversion"/>
  </si>
  <si>
    <t>Water balance</t>
    <phoneticPr fontId="11" type="noConversion"/>
  </si>
  <si>
    <t>Photosynthesis</t>
    <phoneticPr fontId="11" type="noConversion"/>
  </si>
  <si>
    <t>Tm</t>
    <phoneticPr fontId="11" type="noConversion"/>
  </si>
  <si>
    <t>ppm</t>
    <phoneticPr fontId="11" type="noConversion"/>
  </si>
  <si>
    <t>CO2 in chloroplast</t>
    <phoneticPr fontId="11" type="noConversion"/>
  </si>
  <si>
    <r>
      <t>C</t>
    </r>
    <r>
      <rPr>
        <vertAlign val="subscript"/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Arial"/>
        <family val="2"/>
      </rPr>
      <t xml:space="preserve"> = C</t>
    </r>
    <r>
      <rPr>
        <vertAlign val="subscript"/>
        <sz val="12"/>
        <color theme="1"/>
        <rFont val="新細明體"/>
        <family val="1"/>
        <charset val="136"/>
        <scheme val="minor"/>
      </rPr>
      <t xml:space="preserve">N </t>
    </r>
    <r>
      <rPr>
        <sz val="12"/>
        <color theme="1"/>
        <rFont val="Arial"/>
        <family val="2"/>
      </rPr>
      <t>+ C</t>
    </r>
    <r>
      <rPr>
        <vertAlign val="subscript"/>
        <sz val="12"/>
        <color theme="1"/>
        <rFont val="新細明體"/>
        <family val="1"/>
        <charset val="136"/>
        <scheme val="minor"/>
      </rPr>
      <t>V</t>
    </r>
    <phoneticPr fontId="11" type="noConversion"/>
  </si>
  <si>
    <t>Gc</t>
    <phoneticPr fontId="11" type="noConversion"/>
  </si>
  <si>
    <t>Kc</t>
    <phoneticPr fontId="11" type="noConversion"/>
  </si>
  <si>
    <r>
      <t>CO2 loss by ventilation (C</t>
    </r>
    <r>
      <rPr>
        <vertAlign val="subscript"/>
        <sz val="12"/>
        <color theme="1"/>
        <rFont val="新細明體"/>
        <family val="1"/>
        <charset val="136"/>
        <scheme val="minor"/>
      </rPr>
      <t>V</t>
    </r>
    <r>
      <rPr>
        <sz val="12"/>
        <color theme="1"/>
        <rFont val="Arial"/>
        <family val="2"/>
      </rPr>
      <t>)</t>
    </r>
    <phoneticPr fontId="11" type="noConversion"/>
  </si>
  <si>
    <t>KI</t>
    <phoneticPr fontId="11" type="noConversion"/>
  </si>
  <si>
    <r>
      <t>Net photos. rate in room (C</t>
    </r>
    <r>
      <rPr>
        <vertAlign val="subscript"/>
        <sz val="12"/>
        <color theme="1"/>
        <rFont val="新細明體"/>
        <family val="1"/>
        <charset val="136"/>
        <scheme val="minor"/>
      </rPr>
      <t>N</t>
    </r>
    <r>
      <rPr>
        <sz val="12"/>
        <color theme="1"/>
        <rFont val="Arial"/>
        <family val="2"/>
      </rPr>
      <t>)</t>
    </r>
    <phoneticPr fontId="11" type="noConversion"/>
  </si>
  <si>
    <t>plant type (CO2)</t>
    <phoneticPr fontId="11" type="noConversion"/>
  </si>
  <si>
    <r>
      <t>CO2 supply to room (C</t>
    </r>
    <r>
      <rPr>
        <vertAlign val="subscript"/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Arial"/>
        <family val="2"/>
      </rPr>
      <t>)</t>
    </r>
    <phoneticPr fontId="11" type="noConversion"/>
  </si>
  <si>
    <t>Rc=</t>
    <phoneticPr fontId="11" type="noConversion"/>
  </si>
  <si>
    <t>plant type (light)</t>
    <phoneticPr fontId="11" type="noConversion"/>
  </si>
  <si>
    <t>CO2 balance</t>
    <phoneticPr fontId="11" type="noConversion"/>
  </si>
  <si>
    <t>Pm=</t>
    <phoneticPr fontId="11" type="noConversion"/>
  </si>
  <si>
    <t>Pmax=</t>
    <phoneticPr fontId="11" type="noConversion"/>
  </si>
  <si>
    <t>Plant</t>
    <phoneticPr fontId="11" type="noConversion"/>
  </si>
  <si>
    <t>Simulation of a Plant Factory with Artificial Lighting (PFAL)</t>
    <phoneticPr fontId="11" type="noConversion"/>
  </si>
  <si>
    <t>Hs: Sensible heat gain, J/kg</t>
    <phoneticPr fontId="1" type="noConversion"/>
  </si>
  <si>
    <t>T: Temperature, oC</t>
    <phoneticPr fontId="1" type="noConversion"/>
  </si>
  <si>
    <r>
      <t>H</t>
    </r>
    <r>
      <rPr>
        <vertAlign val="sub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: Latent heat, J/kg</t>
    </r>
    <phoneticPr fontId="1" type="noConversion"/>
  </si>
  <si>
    <t>Hfg: Vaporization heat of water, J/kg</t>
    <phoneticPr fontId="1" type="noConversion"/>
  </si>
  <si>
    <t>Patm (kpa)</t>
    <phoneticPr fontId="4" type="noConversion"/>
  </si>
  <si>
    <t>We: Electricity energy supplied to other equipment in a room, W</t>
    <phoneticPr fontId="1" type="noConversion"/>
  </si>
  <si>
    <t>WL: Electricity energy supplied to lamps, W</t>
    <phoneticPr fontId="1" type="noConversion"/>
  </si>
  <si>
    <t>Qv: Heat by ventilation, W</t>
    <phoneticPr fontId="1" type="noConversion"/>
  </si>
  <si>
    <t>Kw: Overall conductivity of walls/roof/floor, W/m2.c</t>
    <phoneticPr fontId="1" type="noConversion"/>
  </si>
  <si>
    <t>Qc = Kw x Ar x (Tin - Tout)</t>
    <phoneticPr fontId="1" type="noConversion"/>
  </si>
  <si>
    <t>ACH: Air change per hour, 1/h</t>
    <phoneticPr fontId="1" type="noConversion"/>
  </si>
  <si>
    <t>Tin, Tout: Indoor, outdoor air Temp.</t>
    <phoneticPr fontId="1" type="noConversion"/>
  </si>
  <si>
    <t>Indoor</t>
    <phoneticPr fontId="1" type="noConversion"/>
  </si>
  <si>
    <t>Outdoor</t>
    <phoneticPr fontId="1" type="noConversion"/>
  </si>
  <si>
    <t>RH, %</t>
    <phoneticPr fontId="1" type="noConversion"/>
  </si>
  <si>
    <t>Temp., oC</t>
    <phoneticPr fontId="4" type="noConversion"/>
  </si>
  <si>
    <t>CO2, ppm</t>
    <phoneticPr fontId="1" type="noConversion"/>
  </si>
  <si>
    <t>Room</t>
    <phoneticPr fontId="1" type="noConversion"/>
  </si>
  <si>
    <t>Length</t>
    <phoneticPr fontId="1" type="noConversion"/>
  </si>
  <si>
    <t>Width</t>
    <phoneticPr fontId="1" type="noConversion"/>
  </si>
  <si>
    <t>Height</t>
    <phoneticPr fontId="1" type="noConversion"/>
  </si>
  <si>
    <t>No. of plants (plant/room)</t>
    <phoneticPr fontId="4" type="noConversion"/>
  </si>
  <si>
    <t>Vr: Volume of the room, m3</t>
    <phoneticPr fontId="4" type="noConversion"/>
  </si>
  <si>
    <t>Cs = Cn + Cv</t>
    <phoneticPr fontId="1" type="noConversion"/>
  </si>
  <si>
    <t>Cn: Net photosynthetic rate per room, mg/s/room</t>
    <phoneticPr fontId="1" type="noConversion"/>
  </si>
  <si>
    <t>Cs: CO2 supplied, mg/s/room</t>
    <phoneticPr fontId="1" type="noConversion"/>
  </si>
  <si>
    <t>CO2.mg/m3</t>
    <phoneticPr fontId="4" type="noConversion"/>
  </si>
  <si>
    <t>Cn, mg/(s room)</t>
    <phoneticPr fontId="4" type="noConversion"/>
  </si>
  <si>
    <t>Cv, mg/(s room)</t>
    <phoneticPr fontId="4" type="noConversion"/>
  </si>
  <si>
    <t>Cs, mg/(s room)</t>
    <phoneticPr fontId="4" type="noConversion"/>
  </si>
  <si>
    <r>
      <t>Cv = ACH/3600 x (CO2mg</t>
    </r>
    <r>
      <rPr>
        <vertAlign val="subscript"/>
        <sz val="12"/>
        <color theme="1"/>
        <rFont val="Times New Roman"/>
        <family val="1"/>
      </rPr>
      <t>in</t>
    </r>
    <r>
      <rPr>
        <sz val="12"/>
        <color theme="1"/>
        <rFont val="Times New Roman"/>
        <family val="1"/>
      </rPr>
      <t xml:space="preserve"> - CO2mg</t>
    </r>
    <r>
      <rPr>
        <vertAlign val="subscript"/>
        <sz val="12"/>
        <color theme="1"/>
        <rFont val="Times New Roman"/>
        <family val="1"/>
      </rPr>
      <t>out</t>
    </r>
    <r>
      <rPr>
        <sz val="12"/>
        <color theme="1"/>
        <rFont val="Times New Roman"/>
        <family val="1"/>
      </rPr>
      <t>) x Vroom</t>
    </r>
    <phoneticPr fontId="4" type="noConversion"/>
  </si>
  <si>
    <t>CO2mgin: indoor CO2 concentration in mg/m3</t>
    <phoneticPr fontId="4" type="noConversion"/>
  </si>
  <si>
    <t>CO2mgout: outdoor CO2 concentration in mg/m3</t>
    <phoneticPr fontId="4" type="noConversion"/>
  </si>
  <si>
    <t>CO2 balance in PFAL</t>
    <phoneticPr fontId="1" type="noConversion"/>
  </si>
  <si>
    <t>Water balance in PFAL</t>
    <phoneticPr fontId="1" type="noConversion"/>
  </si>
  <si>
    <t>Energy balance in PFAL</t>
    <phoneticPr fontId="1" type="noConversion"/>
  </si>
  <si>
    <t>Indoor</t>
    <phoneticPr fontId="1" type="noConversion"/>
  </si>
  <si>
    <t>Outdoor</t>
    <phoneticPr fontId="1" type="noConversion"/>
  </si>
  <si>
    <t>RH, %</t>
    <phoneticPr fontId="1" type="noConversion"/>
  </si>
  <si>
    <t>Temp., oC</t>
    <phoneticPr fontId="1" type="noConversion"/>
  </si>
  <si>
    <t>ACH (1/h)</t>
    <phoneticPr fontId="4" type="noConversion"/>
  </si>
  <si>
    <t>indoor</t>
    <phoneticPr fontId="1" type="noConversion"/>
  </si>
  <si>
    <t>outdoor</t>
    <phoneticPr fontId="1" type="noConversion"/>
  </si>
  <si>
    <t>T</t>
    <phoneticPr fontId="4" type="noConversion"/>
  </si>
  <si>
    <t>RH</t>
    <phoneticPr fontId="4" type="noConversion"/>
  </si>
  <si>
    <t>Vd, g/m3</t>
    <phoneticPr fontId="4" type="noConversion"/>
  </si>
  <si>
    <t>Tr: Transpiration rate per m2 of leaf, mg/m2/s</t>
    <phoneticPr fontId="1" type="noConversion"/>
  </si>
  <si>
    <t>TLA = Total leaf area, m2</t>
    <phoneticPr fontId="1" type="noConversion"/>
  </si>
  <si>
    <t>Vw = ACH/3600 x (Vd.in - Vd.out) x 1000 x Vr</t>
    <phoneticPr fontId="1" type="noConversion"/>
  </si>
  <si>
    <t>Vw, mg/(s room)</t>
    <phoneticPr fontId="4" type="noConversion"/>
  </si>
  <si>
    <t>TR, mg/(s room)</t>
    <phoneticPr fontId="4" type="noConversion"/>
  </si>
  <si>
    <t>TR = Tr x TLA</t>
    <phoneticPr fontId="1" type="noConversion"/>
  </si>
  <si>
    <t>TR + H = D + Vw</t>
    <phoneticPr fontId="1" type="noConversion"/>
  </si>
  <si>
    <t>Vw: Rate of water vapor release by ventilation, mg/s/room</t>
    <phoneticPr fontId="1" type="noConversion"/>
  </si>
  <si>
    <t>D: Rate of dehumidification, mg/s/room</t>
    <phoneticPr fontId="1" type="noConversion"/>
  </si>
  <si>
    <t>TR: Transpirate rate, mg/s/room</t>
    <phoneticPr fontId="1" type="noConversion"/>
  </si>
  <si>
    <t>H: Rate of humidification, mg/s/room</t>
    <phoneticPr fontId="1" type="noConversion"/>
  </si>
  <si>
    <t>Vd: Vapor density, g/m3</t>
    <phoneticPr fontId="1" type="noConversion"/>
  </si>
  <si>
    <t>ACH: Air change per hour, 1/h</t>
    <phoneticPr fontId="1" type="noConversion"/>
  </si>
  <si>
    <t>Vr: interal volume, m3</t>
    <phoneticPr fontId="1" type="noConversion"/>
  </si>
  <si>
    <t>Humidification rate, mg/s/room</t>
    <phoneticPr fontId="4" type="noConversion"/>
  </si>
  <si>
    <t>Dehumidification rate, mg/s/room</t>
    <phoneticPr fontId="4" type="noConversion"/>
  </si>
  <si>
    <t>H = D + Vw - TR</t>
    <phoneticPr fontId="1" type="noConversion"/>
  </si>
  <si>
    <t>VPs, kPa</t>
    <phoneticPr fontId="4" type="noConversion"/>
  </si>
  <si>
    <t>VP, kPa</t>
    <phoneticPr fontId="4" type="noConversion"/>
  </si>
  <si>
    <t>AH, kg/kg</t>
    <phoneticPr fontId="4" type="noConversion"/>
  </si>
  <si>
    <t>h, kJ/kg</t>
    <phoneticPr fontId="4" type="noConversion"/>
  </si>
  <si>
    <t>Cp, J/kg.K</t>
    <phoneticPr fontId="4" type="noConversion"/>
  </si>
  <si>
    <r>
      <rPr>
        <sz val="14"/>
        <color theme="1"/>
        <rFont val="Times New Roman"/>
        <family val="1"/>
      </rPr>
      <t>ρ</t>
    </r>
    <r>
      <rPr>
        <vertAlign val="subscript"/>
        <sz val="12"/>
        <color theme="1"/>
        <rFont val="Times New Roman"/>
        <family val="1"/>
      </rPr>
      <t>DA</t>
    </r>
    <r>
      <rPr>
        <sz val="12"/>
        <color theme="1"/>
        <rFont val="Times New Roman"/>
        <family val="1"/>
      </rPr>
      <t>, kg/m</t>
    </r>
    <r>
      <rPr>
        <vertAlign val="superscript"/>
        <sz val="12"/>
        <color theme="1"/>
        <rFont val="Times New Roman"/>
        <family val="1"/>
      </rPr>
      <t>3</t>
    </r>
    <phoneticPr fontId="4" type="noConversion"/>
  </si>
  <si>
    <t>Cp: Specific heat, J/kg.K</t>
    <phoneticPr fontId="1" type="noConversion"/>
  </si>
  <si>
    <t>Qc: Conduction heat, W</t>
    <phoneticPr fontId="1" type="noConversion"/>
  </si>
  <si>
    <t>Hfg (kJ/kg)</t>
    <phoneticPr fontId="4" type="noConversion"/>
  </si>
  <si>
    <t>CO2 in (ppm)</t>
    <phoneticPr fontId="11" type="noConversion"/>
  </si>
  <si>
    <t>=</t>
    <phoneticPr fontId="11" type="noConversion"/>
  </si>
  <si>
    <t>CO2 out (ppm)</t>
    <phoneticPr fontId="11" type="noConversion"/>
  </si>
  <si>
    <t>Wind (m/s)</t>
    <phoneticPr fontId="11" type="noConversion"/>
  </si>
  <si>
    <t>m/s</t>
    <phoneticPr fontId="11" type="noConversion"/>
  </si>
  <si>
    <t>Culture room</t>
    <phoneticPr fontId="11" type="noConversion"/>
  </si>
  <si>
    <t>Room volume</t>
    <phoneticPr fontId="11" type="noConversion"/>
  </si>
  <si>
    <t>Lighting</t>
    <phoneticPr fontId="11" type="noConversion"/>
  </si>
  <si>
    <r>
      <rPr>
        <sz val="14"/>
        <color theme="1"/>
        <rFont val="Times New Roman"/>
        <family val="1"/>
      </rPr>
      <t>ρ</t>
    </r>
    <r>
      <rPr>
        <sz val="12"/>
        <color theme="1"/>
        <rFont val="Times New Roman"/>
        <family val="1"/>
      </rPr>
      <t>w, kg</t>
    </r>
    <r>
      <rPr>
        <sz val="12"/>
        <color theme="1"/>
        <rFont val="新細明體"/>
        <family val="1"/>
        <charset val="136"/>
      </rPr>
      <t>/</t>
    </r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  <phoneticPr fontId="4" type="noConversion"/>
  </si>
  <si>
    <t>std.</t>
    <phoneticPr fontId="11" type="noConversion"/>
  </si>
  <si>
    <t>Other equip., W</t>
    <phoneticPr fontId="1" type="noConversion"/>
  </si>
  <si>
    <t>Total W of lamps, W</t>
    <phoneticPr fontId="4" type="noConversion"/>
  </si>
  <si>
    <t>No. of lamps</t>
    <phoneticPr fontId="4" type="noConversion"/>
  </si>
  <si>
    <t>W per lamp</t>
    <phoneticPr fontId="4" type="noConversion"/>
  </si>
  <si>
    <r>
      <t>Vr, m</t>
    </r>
    <r>
      <rPr>
        <vertAlign val="superscript"/>
        <sz val="12"/>
        <color theme="1"/>
        <rFont val="Times New Roman"/>
        <family val="1"/>
      </rPr>
      <t>3</t>
    </r>
    <phoneticPr fontId="4" type="noConversion"/>
  </si>
  <si>
    <t>height, m</t>
    <phoneticPr fontId="4" type="noConversion"/>
  </si>
  <si>
    <t>width, m</t>
    <phoneticPr fontId="4" type="noConversion"/>
  </si>
  <si>
    <t>Room length, m</t>
    <phoneticPr fontId="4" type="noConversion"/>
  </si>
  <si>
    <t>ACH, 1/h</t>
    <phoneticPr fontId="4" type="noConversion"/>
  </si>
  <si>
    <t>Qa: Heat removed by AC, W</t>
    <phoneticPr fontId="1" type="noConversion"/>
  </si>
  <si>
    <r>
      <t>Q</t>
    </r>
    <r>
      <rPr>
        <vertAlign val="subscript"/>
        <sz val="12"/>
        <color theme="1"/>
        <rFont val="Times New Roman"/>
        <family val="1"/>
      </rPr>
      <t xml:space="preserve">V, </t>
    </r>
    <r>
      <rPr>
        <sz val="12"/>
        <color theme="1"/>
        <rFont val="Times New Roman"/>
        <family val="1"/>
      </rPr>
      <t>J/s room</t>
    </r>
    <phoneticPr fontId="4" type="noConversion"/>
  </si>
  <si>
    <r>
      <t>Q</t>
    </r>
    <r>
      <rPr>
        <vertAlign val="subscript"/>
        <sz val="12"/>
        <color theme="1"/>
        <rFont val="Times New Roman"/>
        <family val="1"/>
      </rPr>
      <t xml:space="preserve">C, </t>
    </r>
    <r>
      <rPr>
        <sz val="12"/>
        <color theme="1"/>
        <rFont val="Times New Roman"/>
        <family val="1"/>
      </rPr>
      <t>J/s room</t>
    </r>
    <phoneticPr fontId="4" type="noConversion"/>
  </si>
  <si>
    <r>
      <t>Q</t>
    </r>
    <r>
      <rPr>
        <vertAlign val="subscript"/>
        <sz val="12"/>
        <color theme="1"/>
        <rFont val="Times New Roman"/>
        <family val="1"/>
      </rPr>
      <t xml:space="preserve">A, </t>
    </r>
    <r>
      <rPr>
        <sz val="12"/>
        <color theme="1"/>
        <rFont val="Times New Roman"/>
        <family val="1"/>
      </rPr>
      <t>J/s room</t>
    </r>
    <phoneticPr fontId="4" type="noConversion"/>
  </si>
  <si>
    <r>
      <t>Q</t>
    </r>
    <r>
      <rPr>
        <vertAlign val="sub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= WL + We - Qv - Qc</t>
    </r>
    <phoneticPr fontId="1" type="noConversion"/>
  </si>
  <si>
    <r>
      <t>WL + We = Qv + Qc + Q</t>
    </r>
    <r>
      <rPr>
        <vertAlign val="subscript"/>
        <sz val="12"/>
        <color theme="1"/>
        <rFont val="Times New Roman"/>
        <family val="1"/>
      </rPr>
      <t>A</t>
    </r>
    <phoneticPr fontId="1" type="noConversion"/>
  </si>
  <si>
    <t>Hfg=2500.9−2.365×T</t>
    <phoneticPr fontId="1" type="noConversion"/>
  </si>
  <si>
    <r>
      <t>H</t>
    </r>
    <r>
      <rPr>
        <vertAlign val="subscript"/>
        <sz val="12"/>
        <color theme="1"/>
        <rFont val="Times New Roman"/>
        <family val="1"/>
      </rPr>
      <t xml:space="preserve">L, </t>
    </r>
    <r>
      <rPr>
        <sz val="12"/>
        <color theme="1"/>
        <rFont val="Times New Roman"/>
        <family val="1"/>
      </rPr>
      <t>kJ/kg</t>
    </r>
    <phoneticPr fontId="4" type="noConversion"/>
  </si>
  <si>
    <r>
      <t>Qv = (hin - hout) x Rho</t>
    </r>
    <r>
      <rPr>
        <vertAlign val="subscript"/>
        <sz val="12"/>
        <color theme="1"/>
        <rFont val="Times New Roman"/>
        <family val="1"/>
      </rPr>
      <t>air</t>
    </r>
    <r>
      <rPr>
        <sz val="12"/>
        <color theme="1"/>
        <rFont val="Times New Roman"/>
        <family val="1"/>
      </rPr>
      <t xml:space="preserve"> x ACH x Vr x 1000/3600</t>
    </r>
    <phoneticPr fontId="1" type="noConversion"/>
  </si>
  <si>
    <t>Vr: Volume of a room = W x L x H, m3</t>
    <phoneticPr fontId="1" type="noConversion"/>
  </si>
  <si>
    <t>Ar: Overall surface area of a room = 2 x (WxL+WxH+LxH), m2</t>
    <phoneticPr fontId="1" type="noConversion"/>
  </si>
  <si>
    <t>hin, hout: Indoor, outdoor enthalpy, kJ/kg</t>
    <phoneticPr fontId="1" type="noConversion"/>
  </si>
  <si>
    <t>Hs, kJ/kg</t>
    <phoneticPr fontId="1" type="noConversion"/>
  </si>
  <si>
    <t>Hs = T x Cp / 1000</t>
    <phoneticPr fontId="1" type="noConversion"/>
  </si>
  <si>
    <t>Vd: Water vapor density, g/m3</t>
    <phoneticPr fontId="1" type="noConversion"/>
  </si>
  <si>
    <t>Vds, g/m3</t>
    <phoneticPr fontId="1" type="noConversion"/>
  </si>
  <si>
    <r>
      <t>H</t>
    </r>
    <r>
      <rPr>
        <vertAlign val="sub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 xml:space="preserve"> = H</t>
    </r>
    <r>
      <rPr>
        <vertAlign val="subscript"/>
        <sz val="12"/>
        <color theme="1"/>
        <rFont val="Times New Roman"/>
        <family val="1"/>
      </rPr>
      <t>fg</t>
    </r>
    <r>
      <rPr>
        <sz val="12"/>
        <color theme="1"/>
        <rFont val="Times New Roman"/>
        <family val="1"/>
      </rPr>
      <t xml:space="preserve"> x Vd/1000 / </t>
    </r>
    <r>
      <rPr>
        <sz val="12"/>
        <color theme="1"/>
        <rFont val="Times New Roman"/>
        <family val="1"/>
        <charset val="161"/>
      </rPr>
      <t>ρ</t>
    </r>
    <r>
      <rPr>
        <vertAlign val="subscript"/>
        <sz val="12"/>
        <color theme="1"/>
        <rFont val="Times New Roman"/>
        <family val="1"/>
      </rPr>
      <t>air</t>
    </r>
    <phoneticPr fontId="1" type="noConversion"/>
  </si>
  <si>
    <r>
      <rPr>
        <sz val="12"/>
        <color theme="1"/>
        <rFont val="Times New Roman"/>
        <family val="1"/>
        <charset val="161"/>
      </rPr>
      <t>ρ</t>
    </r>
    <r>
      <rPr>
        <vertAlign val="subscript"/>
        <sz val="12"/>
        <color theme="1"/>
        <rFont val="Times New Roman"/>
        <family val="1"/>
      </rPr>
      <t>air</t>
    </r>
    <r>
      <rPr>
        <sz val="12"/>
        <color theme="1"/>
        <rFont val="Times New Roman"/>
        <family val="1"/>
      </rPr>
      <t>: Air density, kg/m3</t>
    </r>
    <phoneticPr fontId="1" type="noConversion"/>
  </si>
  <si>
    <t>A=Rc</t>
    <phoneticPr fontId="1" type="noConversion"/>
  </si>
  <si>
    <r>
      <t>G</t>
    </r>
    <r>
      <rPr>
        <vertAlign val="subscript"/>
        <sz val="12"/>
        <color theme="1"/>
        <rFont val="新細明體"/>
        <family val="1"/>
        <charset val="136"/>
        <scheme val="minor"/>
      </rPr>
      <t>L</t>
    </r>
    <phoneticPr fontId="11" type="noConversion"/>
  </si>
  <si>
    <r>
      <t>G</t>
    </r>
    <r>
      <rPr>
        <vertAlign val="subscript"/>
        <sz val="12"/>
        <color theme="1"/>
        <rFont val="新細明體"/>
        <family val="1"/>
        <charset val="136"/>
        <scheme val="minor"/>
      </rPr>
      <t>TL</t>
    </r>
    <phoneticPr fontId="11" type="noConversion"/>
  </si>
  <si>
    <t>Temp. oC</t>
    <phoneticPr fontId="1" type="noConversion"/>
  </si>
  <si>
    <t>RH, %</t>
    <phoneticPr fontId="1" type="noConversion"/>
  </si>
  <si>
    <t>Indoor</t>
    <phoneticPr fontId="11" type="noConversion"/>
  </si>
  <si>
    <t>Outdoor</t>
    <phoneticPr fontId="11" type="noConversion"/>
  </si>
  <si>
    <t>Rhoair,kg/m3</t>
    <phoneticPr fontId="11" type="noConversion"/>
  </si>
  <si>
    <t>h, kJ/kg</t>
    <phoneticPr fontId="11" type="noConversion"/>
  </si>
  <si>
    <t>4*Rc*CO2mg*Pm</t>
    <phoneticPr fontId="11" type="noConversion"/>
  </si>
  <si>
    <t>-B=CO2mg+Kc+Rc*Pm</t>
    <phoneticPr fontId="11" type="noConversion"/>
  </si>
  <si>
    <t>Ps =(-B-sqrt(B2-4AC))/(2A)</t>
    <phoneticPr fontId="1" type="noConversion"/>
  </si>
  <si>
    <t>W/lamp</t>
    <phoneticPr fontId="11" type="noConversion"/>
  </si>
  <si>
    <t>Conductivity of walls</t>
    <phoneticPr fontId="1" type="noConversion"/>
  </si>
  <si>
    <r>
      <rPr>
        <b/>
        <sz val="12"/>
        <color theme="1"/>
        <rFont val="新細明體"/>
        <family val="1"/>
        <charset val="136"/>
      </rPr>
      <t>H = D + V</t>
    </r>
    <r>
      <rPr>
        <b/>
        <vertAlign val="subscript"/>
        <sz val="12"/>
        <color theme="1"/>
        <rFont val="新細明體"/>
        <family val="1"/>
        <charset val="136"/>
        <scheme val="minor"/>
      </rPr>
      <t>W - TR</t>
    </r>
    <phoneticPr fontId="11" type="noConversion"/>
  </si>
  <si>
    <r>
      <t>T</t>
    </r>
    <r>
      <rPr>
        <b/>
        <vertAlign val="subscript"/>
        <sz val="12"/>
        <color theme="1"/>
        <rFont val="新細明體"/>
        <family val="1"/>
        <charset val="136"/>
        <scheme val="minor"/>
      </rPr>
      <t>R</t>
    </r>
    <r>
      <rPr>
        <b/>
        <sz val="12"/>
        <color theme="1"/>
        <rFont val="Arial"/>
        <family val="2"/>
      </rPr>
      <t>+H = D + V</t>
    </r>
    <r>
      <rPr>
        <b/>
        <vertAlign val="subscript"/>
        <sz val="12"/>
        <color theme="1"/>
        <rFont val="新細明體"/>
        <family val="1"/>
        <charset val="136"/>
        <scheme val="minor"/>
      </rPr>
      <t>W</t>
    </r>
    <phoneticPr fontId="11" type="noConversion"/>
  </si>
  <si>
    <r>
      <t>W</t>
    </r>
    <r>
      <rPr>
        <b/>
        <vertAlign val="subscript"/>
        <sz val="12"/>
        <color theme="1"/>
        <rFont val="新細明體"/>
        <family val="1"/>
        <charset val="136"/>
        <scheme val="minor"/>
      </rPr>
      <t>L</t>
    </r>
    <r>
      <rPr>
        <b/>
        <sz val="12"/>
        <color theme="1"/>
        <rFont val="Arial"/>
        <family val="2"/>
      </rPr>
      <t xml:space="preserve"> + W</t>
    </r>
    <r>
      <rPr>
        <b/>
        <vertAlign val="subscript"/>
        <sz val="12"/>
        <color theme="1"/>
        <rFont val="新細明體"/>
        <family val="1"/>
        <charset val="136"/>
        <scheme val="minor"/>
      </rPr>
      <t>e</t>
    </r>
    <r>
      <rPr>
        <b/>
        <sz val="12"/>
        <color theme="1"/>
        <rFont val="Arial"/>
        <family val="2"/>
      </rPr>
      <t xml:space="preserve"> = Qv + Qc + Qa</t>
    </r>
    <phoneticPr fontId="11" type="noConversion"/>
  </si>
  <si>
    <t>All 6 wall area</t>
    <phoneticPr fontId="1" type="noConversion"/>
  </si>
  <si>
    <t>PAR</t>
    <phoneticPr fontId="1" type="noConversion"/>
  </si>
  <si>
    <t>W/m2</t>
    <phoneticPr fontId="1" type="noConversion"/>
  </si>
  <si>
    <t>No. of lamps</t>
    <phoneticPr fontId="11" type="noConversion"/>
  </si>
  <si>
    <t>#/room</t>
    <phoneticPr fontId="1" type="noConversion"/>
  </si>
  <si>
    <t>Leaf area per plt</t>
    <phoneticPr fontId="11" type="noConversion"/>
  </si>
  <si>
    <t>No. of plants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</si>
</sst>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00"/>
    <numFmt numFmtId="179" formatCode="0.0_ "/>
    <numFmt numFmtId="180" formatCode="0.00_ "/>
    <numFmt numFmtId="181" formatCode="0_ "/>
  </numFmts>
  <fonts count="3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9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scheme val="minor"/>
    </font>
    <font>
      <vertAlign val="subscript"/>
      <sz val="12"/>
      <color theme="1"/>
      <name val="新細明體"/>
      <family val="1"/>
      <charset val="136"/>
      <scheme val="minor"/>
    </font>
    <font>
      <sz val="16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6"/>
      <color rgb="FFFF0000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  <charset val="161"/>
    </font>
    <font>
      <sz val="14"/>
      <color theme="1"/>
      <name val="Times New Roman"/>
      <family val="1"/>
    </font>
    <font>
      <sz val="12"/>
      <color rgb="FF0F1115"/>
      <name val="Times New Roman"/>
      <family val="1"/>
    </font>
    <font>
      <b/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</font>
    <font>
      <b/>
      <vertAlign val="subscript"/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2"/>
      <scheme val="minor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0" borderId="0"/>
    <xf numFmtId="0" fontId="2" fillId="0" borderId="0"/>
    <xf numFmtId="9" fontId="21" fillId="0" borderId="0" applyFont="0" applyFill="0" applyBorder="0" applyAlignment="0" applyProtection="0">
      <alignment vertical="center"/>
    </xf>
    <xf numFmtId="0" fontId="10" fillId="0" borderId="0"/>
  </cellStyleXfs>
  <cellXfs count="12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2" fontId="3" fillId="0" borderId="0" xfId="1" applyNumberFormat="1" applyFont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176" fontId="5" fillId="0" borderId="7" xfId="1" applyNumberFormat="1" applyFont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177" fontId="3" fillId="0" borderId="0" xfId="1" applyNumberFormat="1" applyFont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4" applyFont="1" applyAlignment="1">
      <alignment vertical="center"/>
    </xf>
    <xf numFmtId="176" fontId="3" fillId="0" borderId="0" xfId="4" applyNumberFormat="1" applyFont="1" applyAlignment="1">
      <alignment vertical="center"/>
    </xf>
    <xf numFmtId="0" fontId="3" fillId="0" borderId="0" xfId="4" applyFont="1" applyAlignment="1">
      <alignment horizontal="center" vertical="center"/>
    </xf>
    <xf numFmtId="176" fontId="3" fillId="0" borderId="0" xfId="4" applyNumberFormat="1" applyFont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3" fillId="0" borderId="5" xfId="4" applyFont="1" applyBorder="1" applyAlignment="1">
      <alignment horizontal="center" vertical="center"/>
    </xf>
    <xf numFmtId="0" fontId="3" fillId="0" borderId="5" xfId="4" applyFont="1" applyBorder="1" applyAlignment="1">
      <alignment vertical="center"/>
    </xf>
    <xf numFmtId="2" fontId="5" fillId="0" borderId="0" xfId="4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/>
    </xf>
    <xf numFmtId="0" fontId="3" fillId="3" borderId="5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5" xfId="4" applyFont="1" applyFill="1" applyBorder="1" applyAlignment="1">
      <alignment vertical="center"/>
    </xf>
    <xf numFmtId="176" fontId="5" fillId="0" borderId="5" xfId="1" applyNumberFormat="1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9" fontId="3" fillId="3" borderId="1" xfId="2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0" fontId="3" fillId="8" borderId="5" xfId="4" applyFont="1" applyFill="1" applyBorder="1" applyAlignment="1">
      <alignment horizontal="center" vertical="center"/>
    </xf>
    <xf numFmtId="176" fontId="3" fillId="0" borderId="5" xfId="4" applyNumberFormat="1" applyFont="1" applyBorder="1" applyAlignment="1">
      <alignment vertical="center"/>
    </xf>
    <xf numFmtId="0" fontId="3" fillId="0" borderId="5" xfId="4" applyFont="1" applyBorder="1" applyAlignment="1">
      <alignment horizontal="left" vertical="center"/>
    </xf>
    <xf numFmtId="2" fontId="3" fillId="0" borderId="5" xfId="4" applyNumberFormat="1" applyFont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2" fontId="3" fillId="0" borderId="7" xfId="4" applyNumberFormat="1" applyFont="1" applyBorder="1" applyAlignment="1">
      <alignment horizontal="center" vertical="center"/>
    </xf>
    <xf numFmtId="178" fontId="3" fillId="0" borderId="7" xfId="4" applyNumberFormat="1" applyFont="1" applyBorder="1" applyAlignment="1">
      <alignment horizontal="center" vertical="center"/>
    </xf>
    <xf numFmtId="2" fontId="3" fillId="0" borderId="3" xfId="4" applyNumberFormat="1" applyFont="1" applyBorder="1" applyAlignment="1">
      <alignment horizontal="center" vertical="center"/>
    </xf>
    <xf numFmtId="178" fontId="3" fillId="0" borderId="5" xfId="4" applyNumberFormat="1" applyFont="1" applyBorder="1" applyAlignment="1">
      <alignment horizontal="center" vertical="center"/>
    </xf>
    <xf numFmtId="0" fontId="10" fillId="0" borderId="0" xfId="6"/>
    <xf numFmtId="0" fontId="17" fillId="0" borderId="0" xfId="6" applyFont="1" applyAlignment="1">
      <alignment horizontal="center"/>
    </xf>
    <xf numFmtId="0" fontId="10" fillId="5" borderId="0" xfId="6" applyFill="1"/>
    <xf numFmtId="0" fontId="14" fillId="0" borderId="17" xfId="6" applyFont="1" applyBorder="1"/>
    <xf numFmtId="0" fontId="10" fillId="0" borderId="16" xfId="6" applyBorder="1"/>
    <xf numFmtId="0" fontId="10" fillId="3" borderId="16" xfId="6" applyFill="1" applyBorder="1"/>
    <xf numFmtId="177" fontId="10" fillId="0" borderId="16" xfId="6" applyNumberFormat="1" applyBorder="1"/>
    <xf numFmtId="0" fontId="10" fillId="0" borderId="16" xfId="6" quotePrefix="1" applyBorder="1"/>
    <xf numFmtId="2" fontId="10" fillId="0" borderId="16" xfId="6" applyNumberFormat="1" applyBorder="1"/>
    <xf numFmtId="0" fontId="10" fillId="0" borderId="15" xfId="6" applyBorder="1"/>
    <xf numFmtId="0" fontId="14" fillId="0" borderId="19" xfId="6" applyFont="1" applyBorder="1"/>
    <xf numFmtId="0" fontId="10" fillId="0" borderId="18" xfId="6" applyBorder="1"/>
    <xf numFmtId="0" fontId="10" fillId="0" borderId="14" xfId="6" applyBorder="1"/>
    <xf numFmtId="0" fontId="10" fillId="0" borderId="0" xfId="6" applyBorder="1"/>
    <xf numFmtId="0" fontId="10" fillId="3" borderId="0" xfId="6" applyFill="1" applyBorder="1"/>
    <xf numFmtId="2" fontId="10" fillId="0" borderId="0" xfId="6" applyNumberFormat="1" applyBorder="1"/>
    <xf numFmtId="0" fontId="10" fillId="0" borderId="0" xfId="6" quotePrefix="1" applyBorder="1"/>
    <xf numFmtId="0" fontId="10" fillId="0" borderId="13" xfId="6" applyBorder="1"/>
    <xf numFmtId="180" fontId="10" fillId="6" borderId="0" xfId="6" applyNumberFormat="1" applyFill="1" applyBorder="1"/>
    <xf numFmtId="2" fontId="10" fillId="6" borderId="0" xfId="6" applyNumberFormat="1" applyFill="1" applyBorder="1"/>
    <xf numFmtId="0" fontId="10" fillId="0" borderId="12" xfId="6" applyBorder="1"/>
    <xf numFmtId="0" fontId="10" fillId="0" borderId="11" xfId="6" applyBorder="1"/>
    <xf numFmtId="0" fontId="10" fillId="0" borderId="10" xfId="6" applyBorder="1"/>
    <xf numFmtId="0" fontId="10" fillId="6" borderId="0" xfId="6" applyFill="1" applyBorder="1"/>
    <xf numFmtId="0" fontId="16" fillId="0" borderId="19" xfId="6" applyFont="1" applyBorder="1"/>
    <xf numFmtId="0" fontId="15" fillId="0" borderId="18" xfId="6" applyFont="1" applyBorder="1"/>
    <xf numFmtId="176" fontId="10" fillId="6" borderId="0" xfId="6" applyNumberFormat="1" applyFill="1" applyBorder="1"/>
    <xf numFmtId="0" fontId="10" fillId="3" borderId="11" xfId="6" applyFill="1" applyBorder="1"/>
    <xf numFmtId="2" fontId="10" fillId="6" borderId="11" xfId="6" applyNumberFormat="1" applyFill="1" applyBorder="1"/>
    <xf numFmtId="179" fontId="10" fillId="6" borderId="0" xfId="6" applyNumberFormat="1" applyFill="1" applyBorder="1"/>
    <xf numFmtId="0" fontId="12" fillId="0" borderId="17" xfId="6" applyFont="1" applyBorder="1"/>
    <xf numFmtId="2" fontId="10" fillId="3" borderId="0" xfId="6" applyNumberFormat="1" applyFill="1"/>
    <xf numFmtId="2" fontId="10" fillId="3" borderId="0" xfId="6" applyNumberFormat="1" applyFill="1" applyBorder="1"/>
    <xf numFmtId="0" fontId="10" fillId="0" borderId="0" xfId="6" quotePrefix="1" applyBorder="1" applyAlignment="1">
      <alignment horizontal="center"/>
    </xf>
    <xf numFmtId="0" fontId="10" fillId="0" borderId="16" xfId="6" applyBorder="1" applyAlignment="1">
      <alignment horizontal="center"/>
    </xf>
    <xf numFmtId="181" fontId="3" fillId="0" borderId="0" xfId="4" applyNumberFormat="1" applyFont="1" applyAlignment="1">
      <alignment vertical="center"/>
    </xf>
    <xf numFmtId="1" fontId="10" fillId="6" borderId="0" xfId="6" applyNumberFormat="1" applyFill="1" applyBorder="1"/>
    <xf numFmtId="0" fontId="3" fillId="0" borderId="4" xfId="4" applyFont="1" applyFill="1" applyBorder="1" applyAlignment="1">
      <alignment horizontal="center"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2" borderId="20" xfId="4" applyFont="1" applyFill="1" applyBorder="1" applyAlignment="1">
      <alignment horizontal="center" vertical="center"/>
    </xf>
    <xf numFmtId="0" fontId="3" fillId="8" borderId="5" xfId="4" applyFont="1" applyFill="1" applyBorder="1" applyAlignment="1">
      <alignment horizontal="center" vertical="center" wrapText="1"/>
    </xf>
    <xf numFmtId="0" fontId="3" fillId="3" borderId="4" xfId="4" applyFont="1" applyFill="1" applyBorder="1" applyAlignment="1">
      <alignment horizontal="center" vertical="center"/>
    </xf>
    <xf numFmtId="0" fontId="3" fillId="4" borderId="5" xfId="4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2" borderId="9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177" fontId="3" fillId="0" borderId="5" xfId="4" applyNumberFormat="1" applyFont="1" applyBorder="1" applyAlignment="1">
      <alignment horizontal="center" vertical="center"/>
    </xf>
    <xf numFmtId="1" fontId="3" fillId="0" borderId="5" xfId="4" applyNumberFormat="1" applyFont="1" applyBorder="1" applyAlignment="1">
      <alignment horizontal="center" vertical="center"/>
    </xf>
    <xf numFmtId="2" fontId="3" fillId="0" borderId="8" xfId="4" applyNumberFormat="1" applyFont="1" applyBorder="1" applyAlignment="1">
      <alignment horizontal="center" vertical="center"/>
    </xf>
    <xf numFmtId="0" fontId="3" fillId="9" borderId="5" xfId="4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180" fontId="3" fillId="0" borderId="7" xfId="5" applyNumberFormat="1" applyFont="1" applyFill="1" applyBorder="1" applyAlignment="1">
      <alignment horizontal="center" vertical="center"/>
    </xf>
    <xf numFmtId="180" fontId="3" fillId="0" borderId="5" xfId="2" applyNumberFormat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18" fillId="7" borderId="0" xfId="1" applyFont="1" applyFill="1" applyAlignment="1">
      <alignment horizontal="center" vertical="center"/>
    </xf>
    <xf numFmtId="0" fontId="20" fillId="7" borderId="0" xfId="1" applyFont="1" applyFill="1" applyAlignment="1">
      <alignment horizontal="center" vertical="center"/>
    </xf>
    <xf numFmtId="0" fontId="19" fillId="7" borderId="0" xfId="4" applyFont="1" applyFill="1" applyAlignment="1">
      <alignment horizontal="center" vertical="center"/>
    </xf>
    <xf numFmtId="0" fontId="17" fillId="0" borderId="0" xfId="6" applyFont="1" applyAlignment="1">
      <alignment horizontal="center"/>
    </xf>
    <xf numFmtId="177" fontId="10" fillId="0" borderId="0" xfId="6" applyNumberFormat="1" applyBorder="1"/>
    <xf numFmtId="177" fontId="10" fillId="6" borderId="0" xfId="6" applyNumberFormat="1" applyFill="1" applyBorder="1"/>
    <xf numFmtId="177" fontId="10" fillId="6" borderId="11" xfId="6" applyNumberFormat="1" applyFill="1" applyBorder="1"/>
    <xf numFmtId="0" fontId="10" fillId="3" borderId="0" xfId="6" applyFill="1"/>
    <xf numFmtId="0" fontId="28" fillId="0" borderId="0" xfId="6" applyFont="1" applyBorder="1"/>
    <xf numFmtId="0" fontId="25" fillId="0" borderId="0" xfId="6" applyFont="1" applyBorder="1"/>
    <xf numFmtId="0" fontId="10" fillId="0" borderId="21" xfId="6" applyBorder="1" applyAlignment="1">
      <alignment horizontal="center"/>
    </xf>
  </cellXfs>
  <cellStyles count="7">
    <cellStyle name="一般" xfId="0" builtinId="0"/>
    <cellStyle name="一般 2" xfId="1" xr:uid="{B0D482AA-A400-4127-A2EB-E717624594BE}"/>
    <cellStyle name="一般 2 2" xfId="3" xr:uid="{939B87BB-8962-4374-8E79-A200866DE703}"/>
    <cellStyle name="一般 2 2 2" xfId="4" xr:uid="{D67ED5EF-09F4-4FF0-ACC9-560F7D143C3A}"/>
    <cellStyle name="一般 2 2 2 2" xfId="6" xr:uid="{EC79A34A-4749-4ABE-8985-DFCB8D230638}"/>
    <cellStyle name="百分比" xfId="5" builtinId="5"/>
    <cellStyle name="百分比 2" xfId="2" xr:uid="{3DEBC4C2-2A17-4834-97AE-AD6BF167C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9992;on%20Gsuit\PF%20simulator\Pn%20simulation_1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12"/>
      <sheetName val="chap15"/>
      <sheetName val="chap16_24 hr"/>
      <sheetName val="chap22_PF simulation"/>
    </sheetNames>
    <sheetDataSet>
      <sheetData sheetId="0"/>
      <sheetData sheetId="1"/>
      <sheetData sheetId="2"/>
      <sheetData sheetId="3">
        <row r="2">
          <cell r="D2">
            <v>2.61076644199618</v>
          </cell>
        </row>
        <row r="4">
          <cell r="R4">
            <v>8.4379162944544672E-2</v>
          </cell>
        </row>
        <row r="5">
          <cell r="G5">
            <v>0.10071942446043165</v>
          </cell>
          <cell r="R5">
            <v>2.9624972222222223</v>
          </cell>
        </row>
        <row r="6">
          <cell r="G6">
            <v>0.79082004248254778</v>
          </cell>
        </row>
        <row r="8">
          <cell r="G8">
            <v>1</v>
          </cell>
          <cell r="K8">
            <v>0.15997399327081341</v>
          </cell>
        </row>
        <row r="9">
          <cell r="G9">
            <v>0.117453231292517</v>
          </cell>
          <cell r="K9">
            <v>1.8789462432424405E-2</v>
          </cell>
          <cell r="R9">
            <v>6.2780257933607047</v>
          </cell>
        </row>
        <row r="10">
          <cell r="D10">
            <v>7.0000000000000007E-2</v>
          </cell>
          <cell r="G10">
            <v>9.8994949366116664E-2</v>
          </cell>
          <cell r="K10">
            <v>4.2189581472272336E-2</v>
          </cell>
        </row>
        <row r="11">
          <cell r="R11">
            <v>43.585423064280832</v>
          </cell>
        </row>
        <row r="12">
          <cell r="D12">
            <v>25</v>
          </cell>
          <cell r="G12">
            <v>1.1442099999999999</v>
          </cell>
          <cell r="H12">
            <v>65.812749999999994</v>
          </cell>
          <cell r="K12">
            <v>18.40764141037663</v>
          </cell>
          <cell r="R12">
            <v>0</v>
          </cell>
        </row>
        <row r="13">
          <cell r="D13">
            <v>5</v>
          </cell>
          <cell r="H13">
            <v>10.426080000000001</v>
          </cell>
          <cell r="K13">
            <v>2.7168891072355303</v>
          </cell>
        </row>
        <row r="14">
          <cell r="F14">
            <v>1799.5</v>
          </cell>
          <cell r="K14">
            <v>1060</v>
          </cell>
        </row>
        <row r="15">
          <cell r="F15">
            <v>733.00099999999998</v>
          </cell>
          <cell r="K15">
            <v>100</v>
          </cell>
          <cell r="T15">
            <v>0.1</v>
          </cell>
        </row>
        <row r="16">
          <cell r="K16">
            <v>306.03741496598639</v>
          </cell>
          <cell r="R16">
            <v>8000</v>
          </cell>
        </row>
        <row r="17">
          <cell r="K17">
            <v>3.1390128966803519</v>
          </cell>
          <cell r="R17">
            <v>80</v>
          </cell>
        </row>
        <row r="18">
          <cell r="R18">
            <v>176.03883800194441</v>
          </cell>
        </row>
        <row r="19">
          <cell r="D19">
            <v>10</v>
          </cell>
          <cell r="H19">
            <v>500</v>
          </cell>
          <cell r="R19">
            <v>800</v>
          </cell>
        </row>
        <row r="20">
          <cell r="D20">
            <v>10</v>
          </cell>
          <cell r="K20">
            <v>0.02</v>
          </cell>
        </row>
        <row r="21">
          <cell r="D21">
            <v>5</v>
          </cell>
          <cell r="H21">
            <v>0.02</v>
          </cell>
          <cell r="K21">
            <v>100</v>
          </cell>
        </row>
        <row r="23">
          <cell r="H23">
            <v>200</v>
          </cell>
        </row>
        <row r="24">
          <cell r="D24">
            <v>40</v>
          </cell>
        </row>
        <row r="25">
          <cell r="K25">
            <v>8000</v>
          </cell>
        </row>
        <row r="26">
          <cell r="D26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04BF-5554-4200-B478-79ABB3781D2F}">
  <dimension ref="B1:I1010"/>
  <sheetViews>
    <sheetView topLeftCell="A7" zoomScale="85" zoomScaleNormal="85" workbookViewId="0">
      <selection activeCell="B16" sqref="B16"/>
    </sheetView>
  </sheetViews>
  <sheetFormatPr defaultColWidth="13.26953125" defaultRowHeight="15.5" x14ac:dyDescent="0.4"/>
  <cols>
    <col min="1" max="1" width="5.453125" style="1" customWidth="1"/>
    <col min="2" max="2" width="12.453125" style="1" customWidth="1"/>
    <col min="3" max="3" width="12.08984375" style="1" customWidth="1"/>
    <col min="4" max="4" width="10.6328125" style="1" customWidth="1"/>
    <col min="5" max="5" width="10.453125" style="1" customWidth="1"/>
    <col min="6" max="6" width="12.26953125" style="1" customWidth="1"/>
    <col min="7" max="7" width="11.08984375" style="1" customWidth="1"/>
    <col min="8" max="8" width="13.54296875" style="1" bestFit="1" customWidth="1"/>
    <col min="9" max="9" width="17.7265625" style="1" bestFit="1" customWidth="1"/>
    <col min="10" max="10" width="16.54296875" style="1" bestFit="1" customWidth="1"/>
    <col min="11" max="11" width="16.36328125" style="1" bestFit="1" customWidth="1"/>
    <col min="12" max="12" width="16.1796875" style="1" bestFit="1" customWidth="1"/>
    <col min="13" max="23" width="8" style="1" customWidth="1"/>
    <col min="24" max="16384" width="13.26953125" style="1"/>
  </cols>
  <sheetData>
    <row r="1" spans="2:9" ht="22.5" x14ac:dyDescent="0.4">
      <c r="B1" s="114" t="s">
        <v>115</v>
      </c>
      <c r="C1" s="114"/>
      <c r="D1" s="114"/>
      <c r="E1" s="114"/>
      <c r="F1" s="114"/>
      <c r="G1" s="114"/>
      <c r="H1" s="114"/>
    </row>
    <row r="3" spans="2:9" ht="16.5" customHeight="1" x14ac:dyDescent="0.4">
      <c r="B3" s="23"/>
      <c r="C3" s="12" t="s">
        <v>100</v>
      </c>
      <c r="D3" s="12" t="s">
        <v>101</v>
      </c>
      <c r="E3" s="12" t="s">
        <v>102</v>
      </c>
      <c r="G3" s="10" t="s">
        <v>8</v>
      </c>
    </row>
    <row r="4" spans="2:9" ht="16.5" customHeight="1" x14ac:dyDescent="0.4">
      <c r="B4" s="23" t="s">
        <v>99</v>
      </c>
      <c r="C4" s="26">
        <v>10</v>
      </c>
      <c r="D4" s="26">
        <v>10</v>
      </c>
      <c r="E4" s="26">
        <v>5</v>
      </c>
      <c r="G4" s="4">
        <f>C4*D4*E4</f>
        <v>500</v>
      </c>
    </row>
    <row r="5" spans="2:9" ht="16.5" customHeight="1" x14ac:dyDescent="0.4"/>
    <row r="6" spans="2:9" ht="16.5" customHeight="1" x14ac:dyDescent="0.4">
      <c r="B6" s="23"/>
      <c r="C6" s="12" t="s">
        <v>97</v>
      </c>
      <c r="D6" s="12" t="s">
        <v>96</v>
      </c>
      <c r="E6" s="12" t="s">
        <v>98</v>
      </c>
      <c r="G6" s="10" t="s">
        <v>108</v>
      </c>
    </row>
    <row r="7" spans="2:9" ht="16.5" customHeight="1" x14ac:dyDescent="0.4">
      <c r="B7" s="23" t="s">
        <v>94</v>
      </c>
      <c r="C7" s="11">
        <v>25</v>
      </c>
      <c r="D7" s="11">
        <v>80</v>
      </c>
      <c r="E7" s="11">
        <v>1000</v>
      </c>
      <c r="G7" s="13">
        <f>E7*44.01/22.4*273/(273+$C$7)</f>
        <v>1799.9056208053692</v>
      </c>
    </row>
    <row r="8" spans="2:9" ht="16.5" customHeight="1" x14ac:dyDescent="0.4">
      <c r="B8" s="23" t="s">
        <v>95</v>
      </c>
      <c r="C8" s="11">
        <v>5</v>
      </c>
      <c r="D8" s="11">
        <v>40</v>
      </c>
      <c r="E8" s="11">
        <v>380</v>
      </c>
      <c r="G8" s="13">
        <f>E8*44.01/22.4*273/(273+$C$8)</f>
        <v>733.17018884892082</v>
      </c>
    </row>
    <row r="9" spans="2:9" ht="16.5" customHeight="1" x14ac:dyDescent="0.4">
      <c r="I9" s="6"/>
    </row>
    <row r="10" spans="2:9" ht="32" customHeight="1" x14ac:dyDescent="0.4">
      <c r="B10" s="27" t="s">
        <v>14</v>
      </c>
      <c r="C10" s="28" t="s">
        <v>103</v>
      </c>
      <c r="D10" s="29" t="s">
        <v>12</v>
      </c>
      <c r="E10" s="24" t="s">
        <v>7</v>
      </c>
      <c r="G10" s="30" t="s">
        <v>109</v>
      </c>
      <c r="H10" s="30" t="s">
        <v>110</v>
      </c>
      <c r="I10" s="30" t="s">
        <v>111</v>
      </c>
    </row>
    <row r="11" spans="2:9" ht="16.5" customHeight="1" x14ac:dyDescent="0.4">
      <c r="B11" s="25">
        <v>0.02</v>
      </c>
      <c r="C11" s="5">
        <v>100</v>
      </c>
      <c r="D11" s="5">
        <v>1</v>
      </c>
      <c r="E11" s="25">
        <v>0.02</v>
      </c>
      <c r="G11" s="4">
        <f>D11*(B11*C11)</f>
        <v>2</v>
      </c>
      <c r="H11" s="4">
        <f>E11/3600*(G7-G8)*G4</f>
        <v>2.963153977656801</v>
      </c>
      <c r="I11" s="13">
        <f>G11+H11</f>
        <v>4.963153977656801</v>
      </c>
    </row>
    <row r="12" spans="2:9" ht="16.5" customHeight="1" x14ac:dyDescent="0.4"/>
    <row r="13" spans="2:9" ht="16.5" customHeight="1" x14ac:dyDescent="0.4">
      <c r="B13" s="1" t="s">
        <v>112</v>
      </c>
      <c r="G13" s="2"/>
    </row>
    <row r="14" spans="2:9" ht="16.5" customHeight="1" x14ac:dyDescent="0.4">
      <c r="B14" s="14" t="s">
        <v>5</v>
      </c>
    </row>
    <row r="15" spans="2:9" ht="16.5" customHeight="1" x14ac:dyDescent="0.4">
      <c r="B15" s="1" t="s">
        <v>105</v>
      </c>
    </row>
    <row r="16" spans="2:9" ht="16.5" customHeight="1" x14ac:dyDescent="0.4">
      <c r="B16" s="1" t="s">
        <v>0</v>
      </c>
    </row>
    <row r="17" spans="2:2" ht="16.5" customHeight="1" x14ac:dyDescent="0.4"/>
    <row r="18" spans="2:2" ht="16.5" customHeight="1" x14ac:dyDescent="0.4">
      <c r="B18" s="1" t="s">
        <v>6</v>
      </c>
    </row>
    <row r="19" spans="2:2" ht="16.5" customHeight="1" x14ac:dyDescent="0.4">
      <c r="B19" s="1" t="s">
        <v>106</v>
      </c>
    </row>
    <row r="20" spans="2:2" ht="16.5" customHeight="1" x14ac:dyDescent="0.4">
      <c r="B20" s="1" t="s">
        <v>107</v>
      </c>
    </row>
    <row r="21" spans="2:2" ht="16.5" customHeight="1" x14ac:dyDescent="0.4">
      <c r="B21" s="2" t="s">
        <v>2</v>
      </c>
    </row>
    <row r="22" spans="2:2" ht="16.5" customHeight="1" x14ac:dyDescent="0.4">
      <c r="B22" s="1" t="s">
        <v>104</v>
      </c>
    </row>
    <row r="23" spans="2:2" ht="16.5" customHeight="1" x14ac:dyDescent="0.4">
      <c r="B23" s="1" t="s">
        <v>1</v>
      </c>
    </row>
    <row r="24" spans="2:2" ht="16.5" customHeight="1" x14ac:dyDescent="0.4">
      <c r="B24" s="2" t="s">
        <v>113</v>
      </c>
    </row>
    <row r="25" spans="2:2" ht="16.5" customHeight="1" x14ac:dyDescent="0.4">
      <c r="B25" s="2" t="s">
        <v>114</v>
      </c>
    </row>
    <row r="26" spans="2:2" ht="16.5" customHeight="1" x14ac:dyDescent="0.4">
      <c r="B26" s="1" t="s">
        <v>4</v>
      </c>
    </row>
    <row r="27" spans="2:2" ht="16.5" customHeight="1" x14ac:dyDescent="0.4">
      <c r="B27" s="1" t="s">
        <v>3</v>
      </c>
    </row>
    <row r="28" spans="2:2" ht="16.5" customHeight="1" x14ac:dyDescent="0.4"/>
    <row r="29" spans="2:2" ht="16.5" customHeight="1" x14ac:dyDescent="0.4"/>
    <row r="30" spans="2:2" ht="16.5" customHeight="1" x14ac:dyDescent="0.4"/>
    <row r="31" spans="2:2" ht="16.5" customHeight="1" x14ac:dyDescent="0.4"/>
    <row r="32" spans="2:2" ht="16.5" customHeight="1" x14ac:dyDescent="0.4"/>
    <row r="33" spans="2:4" ht="16.5" customHeight="1" x14ac:dyDescent="0.4"/>
    <row r="34" spans="2:4" ht="16.5" customHeight="1" x14ac:dyDescent="0.4">
      <c r="D34" s="2"/>
    </row>
    <row r="35" spans="2:4" ht="16.5" customHeight="1" x14ac:dyDescent="0.4">
      <c r="D35" s="2"/>
    </row>
    <row r="36" spans="2:4" ht="16.5" customHeight="1" x14ac:dyDescent="0.4">
      <c r="D36" s="2"/>
    </row>
    <row r="37" spans="2:4" ht="16.5" customHeight="1" x14ac:dyDescent="0.4">
      <c r="D37" s="2"/>
    </row>
    <row r="38" spans="2:4" ht="16.5" customHeight="1" x14ac:dyDescent="0.4">
      <c r="D38" s="2"/>
    </row>
    <row r="39" spans="2:4" ht="16.5" customHeight="1" x14ac:dyDescent="0.4">
      <c r="D39" s="2"/>
    </row>
    <row r="40" spans="2:4" ht="16.5" customHeight="1" x14ac:dyDescent="0.4">
      <c r="B40" s="14"/>
      <c r="D40" s="2"/>
    </row>
    <row r="41" spans="2:4" ht="16.5" customHeight="1" x14ac:dyDescent="0.4">
      <c r="B41" s="14"/>
      <c r="D41" s="2"/>
    </row>
    <row r="42" spans="2:4" ht="16.5" customHeight="1" x14ac:dyDescent="0.4">
      <c r="B42" s="14"/>
      <c r="D42" s="2"/>
    </row>
    <row r="43" spans="2:4" ht="16.5" customHeight="1" x14ac:dyDescent="0.4">
      <c r="B43" s="14"/>
      <c r="D43" s="2"/>
    </row>
    <row r="44" spans="2:4" ht="16.5" customHeight="1" x14ac:dyDescent="0.4">
      <c r="D44" s="2"/>
    </row>
    <row r="45" spans="2:4" ht="16.5" customHeight="1" x14ac:dyDescent="0.4">
      <c r="D45" s="2"/>
    </row>
    <row r="46" spans="2:4" ht="16.5" customHeight="1" x14ac:dyDescent="0.4">
      <c r="D46" s="2"/>
    </row>
    <row r="47" spans="2:4" ht="16.5" customHeight="1" x14ac:dyDescent="0.4">
      <c r="C47" s="2"/>
      <c r="D47" s="2"/>
    </row>
    <row r="48" spans="2:4" ht="16.5" customHeight="1" x14ac:dyDescent="0.4">
      <c r="C48" s="2"/>
      <c r="D48" s="9"/>
    </row>
    <row r="49" spans="2:4" ht="16.5" customHeight="1" x14ac:dyDescent="0.4"/>
    <row r="50" spans="2:4" ht="16.5" customHeight="1" x14ac:dyDescent="0.4"/>
    <row r="51" spans="2:4" ht="16.5" customHeight="1" x14ac:dyDescent="0.4">
      <c r="B51" s="14"/>
    </row>
    <row r="52" spans="2:4" ht="16.5" customHeight="1" x14ac:dyDescent="0.4"/>
    <row r="53" spans="2:4" ht="16.5" customHeight="1" x14ac:dyDescent="0.4"/>
    <row r="54" spans="2:4" ht="16.5" customHeight="1" x14ac:dyDescent="0.4"/>
    <row r="55" spans="2:4" ht="16.5" customHeight="1" x14ac:dyDescent="0.4">
      <c r="D55" s="2"/>
    </row>
    <row r="56" spans="2:4" ht="16.5" customHeight="1" x14ac:dyDescent="0.4">
      <c r="D56" s="2"/>
    </row>
    <row r="57" spans="2:4" ht="16.5" customHeight="1" x14ac:dyDescent="0.4">
      <c r="D57" s="2"/>
    </row>
    <row r="58" spans="2:4" ht="16.5" customHeight="1" x14ac:dyDescent="0.4">
      <c r="D58" s="2"/>
    </row>
    <row r="59" spans="2:4" ht="16.5" customHeight="1" x14ac:dyDescent="0.4">
      <c r="D59" s="2"/>
    </row>
    <row r="60" spans="2:4" ht="16.5" customHeight="1" x14ac:dyDescent="0.4">
      <c r="C60" s="2"/>
      <c r="D60" s="2"/>
    </row>
    <row r="61" spans="2:4" ht="16.5" customHeight="1" x14ac:dyDescent="0.4">
      <c r="C61" s="2"/>
      <c r="D61" s="2"/>
    </row>
    <row r="62" spans="2:4" ht="16.5" customHeight="1" x14ac:dyDescent="0.4">
      <c r="C62" s="2"/>
      <c r="D62" s="2"/>
    </row>
    <row r="63" spans="2:4" ht="16.5" customHeight="1" x14ac:dyDescent="0.4">
      <c r="C63" s="2"/>
      <c r="D63" s="2"/>
    </row>
    <row r="64" spans="2:4" ht="16.5" customHeight="1" x14ac:dyDescent="0.4">
      <c r="C64" s="2"/>
      <c r="D64" s="2"/>
    </row>
    <row r="65" spans="3:4" ht="16.5" customHeight="1" x14ac:dyDescent="0.4">
      <c r="C65" s="2"/>
      <c r="D65" s="2"/>
    </row>
    <row r="66" spans="3:4" ht="16.5" customHeight="1" x14ac:dyDescent="0.4">
      <c r="C66" s="2"/>
      <c r="D66" s="2"/>
    </row>
    <row r="67" spans="3:4" ht="16.5" customHeight="1" x14ac:dyDescent="0.4">
      <c r="C67" s="2"/>
      <c r="D67" s="2"/>
    </row>
    <row r="68" spans="3:4" ht="16.5" customHeight="1" x14ac:dyDescent="0.4">
      <c r="C68" s="2"/>
      <c r="D68" s="2"/>
    </row>
    <row r="69" spans="3:4" ht="16.5" customHeight="1" x14ac:dyDescent="0.4">
      <c r="C69" s="2"/>
      <c r="D69" s="2"/>
    </row>
    <row r="70" spans="3:4" ht="16.5" customHeight="1" x14ac:dyDescent="0.4">
      <c r="C70" s="2"/>
      <c r="D70" s="2"/>
    </row>
    <row r="71" spans="3:4" ht="16.5" customHeight="1" x14ac:dyDescent="0.4">
      <c r="C71" s="2"/>
      <c r="D71" s="2"/>
    </row>
    <row r="72" spans="3:4" ht="16.5" customHeight="1" x14ac:dyDescent="0.4">
      <c r="C72" s="2"/>
      <c r="D72" s="2"/>
    </row>
    <row r="73" spans="3:4" ht="16.5" customHeight="1" x14ac:dyDescent="0.4">
      <c r="C73" s="2"/>
      <c r="D73" s="2"/>
    </row>
    <row r="74" spans="3:4" ht="16.5" customHeight="1" x14ac:dyDescent="0.4">
      <c r="C74" s="2"/>
      <c r="D74" s="2"/>
    </row>
    <row r="75" spans="3:4" ht="16.5" customHeight="1" x14ac:dyDescent="0.4">
      <c r="C75" s="2"/>
      <c r="D75" s="2"/>
    </row>
    <row r="76" spans="3:4" ht="16.5" customHeight="1" x14ac:dyDescent="0.4">
      <c r="C76" s="2"/>
      <c r="D76" s="2"/>
    </row>
    <row r="77" spans="3:4" ht="16.5" customHeight="1" x14ac:dyDescent="0.4">
      <c r="C77" s="2"/>
      <c r="D77" s="2"/>
    </row>
    <row r="78" spans="3:4" ht="16.5" customHeight="1" x14ac:dyDescent="0.4">
      <c r="C78" s="2"/>
      <c r="D78" s="2"/>
    </row>
    <row r="79" spans="3:4" ht="16.5" customHeight="1" x14ac:dyDescent="0.4">
      <c r="C79" s="2"/>
      <c r="D79" s="2"/>
    </row>
    <row r="80" spans="3:4" ht="16.5" customHeight="1" x14ac:dyDescent="0.4">
      <c r="C80" s="2"/>
      <c r="D80" s="2"/>
    </row>
    <row r="81" spans="3:4" ht="16.5" customHeight="1" x14ac:dyDescent="0.4">
      <c r="C81" s="2"/>
      <c r="D81" s="2"/>
    </row>
    <row r="82" spans="3:4" ht="16.5" customHeight="1" x14ac:dyDescent="0.4">
      <c r="C82" s="2"/>
      <c r="D82" s="2"/>
    </row>
    <row r="83" spans="3:4" ht="16.5" customHeight="1" x14ac:dyDescent="0.4">
      <c r="C83" s="2"/>
      <c r="D83" s="2"/>
    </row>
    <row r="84" spans="3:4" ht="16.5" customHeight="1" x14ac:dyDescent="0.4">
      <c r="C84" s="2"/>
      <c r="D84" s="2"/>
    </row>
    <row r="85" spans="3:4" ht="16.5" customHeight="1" x14ac:dyDescent="0.4">
      <c r="C85" s="2"/>
      <c r="D85" s="2"/>
    </row>
    <row r="86" spans="3:4" ht="16.5" customHeight="1" x14ac:dyDescent="0.4">
      <c r="C86" s="2"/>
      <c r="D86" s="2"/>
    </row>
    <row r="87" spans="3:4" ht="16.5" customHeight="1" x14ac:dyDescent="0.4">
      <c r="C87" s="2"/>
      <c r="D87" s="2"/>
    </row>
    <row r="88" spans="3:4" ht="16.5" customHeight="1" x14ac:dyDescent="0.4">
      <c r="C88" s="2"/>
      <c r="D88" s="2"/>
    </row>
    <row r="89" spans="3:4" ht="16.5" customHeight="1" x14ac:dyDescent="0.4">
      <c r="C89" s="2"/>
      <c r="D89" s="2"/>
    </row>
    <row r="90" spans="3:4" ht="16.5" customHeight="1" x14ac:dyDescent="0.4">
      <c r="C90" s="2"/>
      <c r="D90" s="2"/>
    </row>
    <row r="91" spans="3:4" ht="16.5" customHeight="1" x14ac:dyDescent="0.4">
      <c r="C91" s="2"/>
      <c r="D91" s="2"/>
    </row>
    <row r="92" spans="3:4" ht="16.5" customHeight="1" x14ac:dyDescent="0.4">
      <c r="C92" s="2"/>
      <c r="D92" s="2"/>
    </row>
    <row r="93" spans="3:4" ht="16.5" customHeight="1" x14ac:dyDescent="0.4">
      <c r="C93" s="2"/>
      <c r="D93" s="2"/>
    </row>
    <row r="94" spans="3:4" ht="16.5" customHeight="1" x14ac:dyDescent="0.4">
      <c r="C94" s="2"/>
      <c r="D94" s="2"/>
    </row>
    <row r="95" spans="3:4" ht="16.5" customHeight="1" x14ac:dyDescent="0.4">
      <c r="C95" s="2"/>
      <c r="D95" s="2"/>
    </row>
    <row r="96" spans="3:4" ht="16.5" customHeight="1" x14ac:dyDescent="0.4">
      <c r="C96" s="2"/>
      <c r="D96" s="2"/>
    </row>
    <row r="97" spans="3:4" ht="16.5" customHeight="1" x14ac:dyDescent="0.4">
      <c r="C97" s="2"/>
      <c r="D97" s="2"/>
    </row>
    <row r="98" spans="3:4" ht="16.5" customHeight="1" x14ac:dyDescent="0.4">
      <c r="C98" s="2"/>
      <c r="D98" s="2"/>
    </row>
    <row r="99" spans="3:4" ht="16.5" customHeight="1" x14ac:dyDescent="0.4">
      <c r="C99" s="2"/>
      <c r="D99" s="2"/>
    </row>
    <row r="100" spans="3:4" ht="16.5" customHeight="1" x14ac:dyDescent="0.4">
      <c r="C100" s="2"/>
      <c r="D100" s="2"/>
    </row>
    <row r="101" spans="3:4" ht="16.5" customHeight="1" x14ac:dyDescent="0.4"/>
    <row r="102" spans="3:4" ht="16.5" customHeight="1" x14ac:dyDescent="0.4"/>
    <row r="103" spans="3:4" ht="16.5" customHeight="1" x14ac:dyDescent="0.4"/>
    <row r="104" spans="3:4" ht="16.5" customHeight="1" x14ac:dyDescent="0.4"/>
    <row r="105" spans="3:4" ht="16.5" customHeight="1" x14ac:dyDescent="0.4"/>
    <row r="106" spans="3:4" ht="16.5" customHeight="1" x14ac:dyDescent="0.4"/>
    <row r="107" spans="3:4" ht="16.5" customHeight="1" x14ac:dyDescent="0.4"/>
    <row r="108" spans="3:4" ht="16.5" customHeight="1" x14ac:dyDescent="0.4"/>
    <row r="109" spans="3:4" ht="16.5" customHeight="1" x14ac:dyDescent="0.4"/>
    <row r="110" spans="3:4" ht="16.5" customHeight="1" x14ac:dyDescent="0.4"/>
    <row r="111" spans="3:4" ht="16.5" customHeight="1" x14ac:dyDescent="0.4"/>
    <row r="112" spans="3:4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  <row r="1001" ht="16.5" customHeight="1" x14ac:dyDescent="0.4"/>
    <row r="1002" ht="16.5" customHeight="1" x14ac:dyDescent="0.4"/>
    <row r="1003" ht="16.5" customHeight="1" x14ac:dyDescent="0.4"/>
    <row r="1004" ht="16.5" customHeight="1" x14ac:dyDescent="0.4"/>
    <row r="1005" ht="16.5" customHeight="1" x14ac:dyDescent="0.4"/>
    <row r="1006" ht="16.5" customHeight="1" x14ac:dyDescent="0.4"/>
    <row r="1007" ht="16.5" customHeight="1" x14ac:dyDescent="0.4"/>
    <row r="1008" ht="16.5" customHeight="1" x14ac:dyDescent="0.4"/>
    <row r="1009" ht="16.5" customHeight="1" x14ac:dyDescent="0.4"/>
    <row r="1010" ht="16.5" customHeight="1" x14ac:dyDescent="0.4"/>
  </sheetData>
  <mergeCells count="1">
    <mergeCell ref="B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6B32-F334-47AB-BB9D-DD501744DA77}">
  <dimension ref="B1:J997"/>
  <sheetViews>
    <sheetView zoomScale="85" zoomScaleNormal="85" workbookViewId="0">
      <selection activeCell="H11" sqref="H11"/>
    </sheetView>
  </sheetViews>
  <sheetFormatPr defaultColWidth="13.26953125" defaultRowHeight="15.5" x14ac:dyDescent="0.4"/>
  <cols>
    <col min="1" max="1" width="9.1796875" style="1" bestFit="1" customWidth="1"/>
    <col min="2" max="2" width="15.26953125" style="1" customWidth="1"/>
    <col min="3" max="4" width="15.08984375" style="1" customWidth="1"/>
    <col min="5" max="5" width="16.81640625" style="1" customWidth="1"/>
    <col min="6" max="6" width="2.36328125" style="1" customWidth="1"/>
    <col min="7" max="7" width="14.54296875" style="1" customWidth="1"/>
    <col min="8" max="8" width="18.08984375" style="1" customWidth="1"/>
    <col min="9" max="9" width="16.36328125" style="1" customWidth="1"/>
    <col min="10" max="10" width="15.08984375" style="1" bestFit="1" customWidth="1"/>
    <col min="11" max="11" width="13.54296875" style="1" bestFit="1" customWidth="1"/>
    <col min="12" max="12" width="17.7265625" style="1" bestFit="1" customWidth="1"/>
    <col min="13" max="13" width="16.54296875" style="1" bestFit="1" customWidth="1"/>
    <col min="14" max="14" width="16.36328125" style="1" bestFit="1" customWidth="1"/>
    <col min="15" max="15" width="16.1796875" style="1" bestFit="1" customWidth="1"/>
    <col min="16" max="26" width="8" style="1" customWidth="1"/>
    <col min="27" max="16384" width="13.26953125" style="1"/>
  </cols>
  <sheetData>
    <row r="1" spans="2:10" ht="23" x14ac:dyDescent="0.4">
      <c r="B1" s="115" t="s">
        <v>116</v>
      </c>
      <c r="C1" s="115"/>
      <c r="D1" s="115"/>
      <c r="E1" s="115"/>
      <c r="F1" s="115"/>
      <c r="G1" s="115"/>
      <c r="H1" s="115"/>
      <c r="I1" s="115"/>
      <c r="J1" s="115"/>
    </row>
    <row r="2" spans="2:10" ht="16.5" customHeight="1" x14ac:dyDescent="0.4"/>
    <row r="3" spans="2:10" ht="36" customHeight="1" x14ac:dyDescent="0.4">
      <c r="B3" s="29" t="s">
        <v>14</v>
      </c>
      <c r="C3" s="39" t="s">
        <v>13</v>
      </c>
      <c r="D3" s="39" t="s">
        <v>15</v>
      </c>
      <c r="E3" s="39" t="s">
        <v>143</v>
      </c>
      <c r="F3" s="34"/>
      <c r="G3" s="33" t="s">
        <v>132</v>
      </c>
      <c r="H3" s="35" t="s">
        <v>142</v>
      </c>
    </row>
    <row r="4" spans="2:10" ht="16.5" customHeight="1" x14ac:dyDescent="0.4">
      <c r="B4" s="43">
        <v>0.02</v>
      </c>
      <c r="C4" s="5">
        <v>100</v>
      </c>
      <c r="D4" s="5">
        <v>1</v>
      </c>
      <c r="E4" s="11">
        <v>0</v>
      </c>
      <c r="F4" s="34"/>
      <c r="G4" s="32">
        <f>D4*(B4*C4)</f>
        <v>2</v>
      </c>
      <c r="H4" s="32">
        <f>E4+G8-G4</f>
        <v>41.585423064280839</v>
      </c>
    </row>
    <row r="5" spans="2:10" ht="16.5" customHeight="1" x14ac:dyDescent="0.4">
      <c r="B5" s="40" t="s">
        <v>11</v>
      </c>
      <c r="C5" s="41" t="s">
        <v>10</v>
      </c>
      <c r="D5" s="41" t="s">
        <v>9</v>
      </c>
      <c r="E5" s="33" t="s">
        <v>8</v>
      </c>
      <c r="F5" s="34"/>
      <c r="H5" s="34"/>
    </row>
    <row r="6" spans="2:10" ht="20.5" thickBot="1" x14ac:dyDescent="0.45">
      <c r="B6" s="43">
        <v>10</v>
      </c>
      <c r="C6" s="5">
        <v>10</v>
      </c>
      <c r="D6" s="5">
        <v>5</v>
      </c>
      <c r="E6" s="32">
        <f>B6*C6*D6</f>
        <v>500</v>
      </c>
      <c r="F6" s="34"/>
      <c r="H6" s="34"/>
    </row>
    <row r="7" spans="2:10" ht="16.5" customHeight="1" x14ac:dyDescent="0.4">
      <c r="B7" s="34"/>
      <c r="C7" s="42" t="s">
        <v>125</v>
      </c>
      <c r="D7" s="42" t="s">
        <v>126</v>
      </c>
      <c r="E7" s="33" t="s">
        <v>127</v>
      </c>
      <c r="F7" s="34"/>
      <c r="G7" s="36" t="s">
        <v>131</v>
      </c>
    </row>
    <row r="8" spans="2:10" ht="16.5" customHeight="1" thickBot="1" x14ac:dyDescent="0.45">
      <c r="B8" s="37" t="s">
        <v>123</v>
      </c>
      <c r="C8" s="44">
        <v>25</v>
      </c>
      <c r="D8" s="45">
        <v>0.8</v>
      </c>
      <c r="E8" s="7">
        <f>(2166/(273.16+C8))*0.61078*EXP(17.269*C8/(237.3+C8))*D8</f>
        <v>18.40764141037663</v>
      </c>
      <c r="F8" s="34"/>
      <c r="G8" s="32">
        <f>B11*(E8-E9)*E6*1000/3600</f>
        <v>43.585423064280839</v>
      </c>
    </row>
    <row r="9" spans="2:10" ht="16.5" customHeight="1" thickBot="1" x14ac:dyDescent="0.45">
      <c r="B9" s="12" t="s">
        <v>124</v>
      </c>
      <c r="C9" s="44">
        <v>5</v>
      </c>
      <c r="D9" s="45">
        <v>0.4</v>
      </c>
      <c r="E9" s="32">
        <f>(2166/(273.16+C9))*0.61078*EXP(17.269*C9/(237.3+C9))*D9</f>
        <v>2.7168891072355303</v>
      </c>
      <c r="F9" s="34"/>
      <c r="H9" s="34"/>
    </row>
    <row r="10" spans="2:10" ht="16.5" customHeight="1" x14ac:dyDescent="0.4">
      <c r="B10" s="40" t="s">
        <v>122</v>
      </c>
      <c r="C10" s="34"/>
      <c r="D10" s="34"/>
      <c r="E10" s="34"/>
      <c r="F10" s="34"/>
      <c r="G10" s="34"/>
      <c r="H10" s="38"/>
    </row>
    <row r="11" spans="2:10" ht="16.5" customHeight="1" thickBot="1" x14ac:dyDescent="0.45">
      <c r="B11" s="46">
        <v>0.02</v>
      </c>
      <c r="C11" s="34"/>
      <c r="D11" s="34"/>
      <c r="E11" s="34"/>
      <c r="F11" s="34"/>
      <c r="G11" s="34"/>
      <c r="H11" s="34"/>
    </row>
    <row r="12" spans="2:10" ht="16.5" customHeight="1" x14ac:dyDescent="0.4">
      <c r="E12" s="2"/>
      <c r="F12" s="2"/>
      <c r="G12" s="2"/>
    </row>
    <row r="13" spans="2:10" ht="16.5" customHeight="1" x14ac:dyDescent="0.4">
      <c r="B13" s="1" t="s">
        <v>134</v>
      </c>
      <c r="D13" s="1" t="s">
        <v>144</v>
      </c>
      <c r="E13" s="2"/>
      <c r="F13" s="2"/>
      <c r="G13" s="2"/>
    </row>
    <row r="14" spans="2:10" ht="16.5" customHeight="1" x14ac:dyDescent="0.4">
      <c r="B14" s="14" t="s">
        <v>130</v>
      </c>
      <c r="C14" s="2"/>
      <c r="D14" s="2"/>
      <c r="E14" s="2"/>
      <c r="F14" s="2"/>
      <c r="G14" s="2"/>
    </row>
    <row r="15" spans="2:10" ht="16.5" customHeight="1" x14ac:dyDescent="0.4">
      <c r="B15" s="14" t="s">
        <v>133</v>
      </c>
      <c r="C15" s="2"/>
      <c r="D15" s="2"/>
      <c r="E15" s="2"/>
      <c r="F15" s="2"/>
      <c r="G15" s="2"/>
    </row>
    <row r="16" spans="2:10" ht="16.5" customHeight="1" x14ac:dyDescent="0.4">
      <c r="B16" s="14"/>
      <c r="C16" s="2"/>
      <c r="D16" s="2"/>
    </row>
    <row r="17" spans="2:7" ht="16.5" customHeight="1" x14ac:dyDescent="0.4">
      <c r="B17" s="14" t="s">
        <v>137</v>
      </c>
      <c r="C17" s="2"/>
      <c r="D17" s="9"/>
    </row>
    <row r="18" spans="2:7" ht="16.5" customHeight="1" x14ac:dyDescent="0.4">
      <c r="B18" s="1" t="s">
        <v>138</v>
      </c>
    </row>
    <row r="19" spans="2:7" ht="16.5" customHeight="1" x14ac:dyDescent="0.4">
      <c r="B19" s="1" t="s">
        <v>136</v>
      </c>
    </row>
    <row r="20" spans="2:7" ht="16.5" customHeight="1" x14ac:dyDescent="0.4">
      <c r="B20" s="1" t="s">
        <v>135</v>
      </c>
    </row>
    <row r="21" spans="2:7" ht="16.5" customHeight="1" x14ac:dyDescent="0.4">
      <c r="B21" s="14" t="s">
        <v>128</v>
      </c>
    </row>
    <row r="22" spans="2:7" ht="16.5" customHeight="1" x14ac:dyDescent="0.4">
      <c r="B22" s="1" t="s">
        <v>129</v>
      </c>
      <c r="G22" s="2"/>
    </row>
    <row r="23" spans="2:7" ht="16.5" customHeight="1" x14ac:dyDescent="0.4">
      <c r="B23" s="1" t="s">
        <v>140</v>
      </c>
      <c r="G23" s="2"/>
    </row>
    <row r="24" spans="2:7" ht="16.5" customHeight="1" x14ac:dyDescent="0.4">
      <c r="B24" s="1" t="s">
        <v>139</v>
      </c>
      <c r="E24" s="2"/>
      <c r="F24" s="2"/>
      <c r="G24" s="2"/>
    </row>
    <row r="25" spans="2:7" ht="16.5" customHeight="1" x14ac:dyDescent="0.4">
      <c r="B25" s="1" t="s">
        <v>141</v>
      </c>
      <c r="E25" s="2"/>
      <c r="F25" s="2"/>
      <c r="G25" s="2"/>
    </row>
    <row r="26" spans="2:7" ht="16.5" customHeight="1" x14ac:dyDescent="0.4">
      <c r="C26" s="2"/>
      <c r="D26" s="2"/>
      <c r="E26" s="2"/>
      <c r="F26" s="2"/>
      <c r="G26" s="2"/>
    </row>
    <row r="27" spans="2:7" ht="16.5" customHeight="1" x14ac:dyDescent="0.4">
      <c r="C27" s="2"/>
      <c r="D27" s="2"/>
      <c r="E27" s="2"/>
      <c r="F27" s="2"/>
      <c r="G27" s="2"/>
    </row>
    <row r="28" spans="2:7" ht="16.5" customHeight="1" x14ac:dyDescent="0.4">
      <c r="C28" s="2"/>
      <c r="D28" s="2"/>
      <c r="E28" s="2"/>
      <c r="F28" s="2"/>
      <c r="G28" s="2"/>
    </row>
    <row r="29" spans="2:7" ht="16.5" customHeight="1" x14ac:dyDescent="0.4">
      <c r="C29" s="2"/>
      <c r="D29" s="2"/>
      <c r="E29" s="2"/>
      <c r="F29" s="2"/>
      <c r="G29" s="2"/>
    </row>
    <row r="30" spans="2:7" ht="16.5" customHeight="1" x14ac:dyDescent="0.4">
      <c r="C30" s="2"/>
      <c r="D30" s="2"/>
      <c r="E30" s="2"/>
      <c r="F30" s="2"/>
      <c r="G30" s="2"/>
    </row>
    <row r="31" spans="2:7" ht="16.5" customHeight="1" x14ac:dyDescent="0.4">
      <c r="C31" s="2"/>
      <c r="D31" s="2"/>
      <c r="E31" s="2"/>
      <c r="F31" s="2"/>
      <c r="G31" s="2"/>
    </row>
    <row r="32" spans="2:7" ht="16.5" customHeight="1" x14ac:dyDescent="0.4">
      <c r="C32" s="2"/>
      <c r="D32" s="2"/>
      <c r="E32" s="2"/>
      <c r="F32" s="2"/>
      <c r="G32" s="2"/>
    </row>
    <row r="33" spans="3:7" ht="16.5" customHeight="1" x14ac:dyDescent="0.4">
      <c r="C33" s="2"/>
      <c r="D33" s="2"/>
      <c r="E33" s="2"/>
      <c r="F33" s="2"/>
      <c r="G33" s="2"/>
    </row>
    <row r="34" spans="3:7" ht="16.5" customHeight="1" x14ac:dyDescent="0.4">
      <c r="C34" s="2"/>
      <c r="D34" s="2"/>
      <c r="E34" s="2"/>
      <c r="F34" s="2"/>
      <c r="G34" s="2"/>
    </row>
    <row r="35" spans="3:7" ht="16.5" customHeight="1" x14ac:dyDescent="0.4">
      <c r="C35" s="2"/>
      <c r="D35" s="2"/>
      <c r="E35" s="2"/>
      <c r="F35" s="2"/>
      <c r="G35" s="2"/>
    </row>
    <row r="36" spans="3:7" ht="16.5" customHeight="1" x14ac:dyDescent="0.4">
      <c r="C36" s="2"/>
      <c r="D36" s="2"/>
      <c r="E36" s="2"/>
      <c r="F36" s="2"/>
      <c r="G36" s="2"/>
    </row>
    <row r="37" spans="3:7" ht="16.5" customHeight="1" x14ac:dyDescent="0.4">
      <c r="C37" s="2"/>
      <c r="D37" s="2"/>
      <c r="E37" s="2"/>
      <c r="F37" s="2"/>
      <c r="G37" s="2"/>
    </row>
    <row r="38" spans="3:7" ht="16.5" customHeight="1" x14ac:dyDescent="0.4">
      <c r="C38" s="2"/>
      <c r="D38" s="2"/>
      <c r="E38" s="2"/>
      <c r="F38" s="2"/>
      <c r="G38" s="2"/>
    </row>
    <row r="39" spans="3:7" ht="16.5" customHeight="1" x14ac:dyDescent="0.4">
      <c r="C39" s="2"/>
      <c r="D39" s="2"/>
      <c r="E39" s="2"/>
      <c r="F39" s="2"/>
      <c r="G39" s="2"/>
    </row>
    <row r="40" spans="3:7" ht="16.5" customHeight="1" x14ac:dyDescent="0.4">
      <c r="C40" s="2"/>
      <c r="D40" s="2"/>
      <c r="E40" s="2"/>
      <c r="F40" s="2"/>
      <c r="G40" s="2"/>
    </row>
    <row r="41" spans="3:7" ht="16.5" customHeight="1" x14ac:dyDescent="0.4">
      <c r="C41" s="2"/>
      <c r="D41" s="2"/>
      <c r="E41" s="2"/>
      <c r="F41" s="2"/>
      <c r="G41" s="2"/>
    </row>
    <row r="42" spans="3:7" ht="16.5" customHeight="1" x14ac:dyDescent="0.4">
      <c r="C42" s="2"/>
      <c r="D42" s="2"/>
      <c r="E42" s="2"/>
      <c r="F42" s="2"/>
      <c r="G42" s="2"/>
    </row>
    <row r="43" spans="3:7" ht="16.5" customHeight="1" x14ac:dyDescent="0.4">
      <c r="C43" s="2"/>
      <c r="D43" s="2"/>
      <c r="E43" s="2"/>
      <c r="F43" s="2"/>
      <c r="G43" s="2"/>
    </row>
    <row r="44" spans="3:7" ht="16.5" customHeight="1" x14ac:dyDescent="0.4">
      <c r="C44" s="2"/>
      <c r="D44" s="2"/>
      <c r="E44" s="2"/>
      <c r="F44" s="2"/>
      <c r="G44" s="2"/>
    </row>
    <row r="45" spans="3:7" ht="16.5" customHeight="1" x14ac:dyDescent="0.4">
      <c r="C45" s="2"/>
      <c r="D45" s="2"/>
      <c r="E45" s="2"/>
      <c r="F45" s="2"/>
      <c r="G45" s="2"/>
    </row>
    <row r="46" spans="3:7" ht="16.5" customHeight="1" x14ac:dyDescent="0.4">
      <c r="C46" s="2"/>
      <c r="D46" s="2"/>
      <c r="E46" s="2"/>
      <c r="F46" s="2"/>
      <c r="G46" s="2"/>
    </row>
    <row r="47" spans="3:7" ht="16.5" customHeight="1" x14ac:dyDescent="0.4">
      <c r="C47" s="2"/>
      <c r="D47" s="2"/>
      <c r="E47" s="2"/>
      <c r="F47" s="2"/>
      <c r="G47" s="2"/>
    </row>
    <row r="48" spans="3:7" ht="16.5" customHeight="1" x14ac:dyDescent="0.4">
      <c r="C48" s="2"/>
      <c r="D48" s="2"/>
      <c r="E48" s="2"/>
      <c r="F48" s="2"/>
      <c r="G48" s="2"/>
    </row>
    <row r="49" spans="3:7" ht="16.5" customHeight="1" x14ac:dyDescent="0.4">
      <c r="C49" s="2"/>
      <c r="D49" s="2"/>
      <c r="E49" s="2"/>
      <c r="F49" s="2"/>
      <c r="G49" s="2"/>
    </row>
    <row r="50" spans="3:7" ht="16.5" customHeight="1" x14ac:dyDescent="0.4">
      <c r="C50" s="2"/>
      <c r="D50" s="2"/>
      <c r="E50" s="2"/>
      <c r="F50" s="2"/>
      <c r="G50" s="2"/>
    </row>
    <row r="51" spans="3:7" ht="16.5" customHeight="1" x14ac:dyDescent="0.4">
      <c r="C51" s="2"/>
      <c r="D51" s="2"/>
      <c r="E51" s="2"/>
      <c r="F51" s="2"/>
      <c r="G51" s="2"/>
    </row>
    <row r="52" spans="3:7" ht="16.5" customHeight="1" x14ac:dyDescent="0.4">
      <c r="C52" s="2"/>
      <c r="D52" s="2"/>
      <c r="E52" s="2"/>
      <c r="F52" s="2"/>
      <c r="G52" s="2"/>
    </row>
    <row r="53" spans="3:7" ht="16.5" customHeight="1" x14ac:dyDescent="0.4">
      <c r="C53" s="2"/>
      <c r="D53" s="2"/>
      <c r="E53" s="2"/>
      <c r="F53" s="2"/>
      <c r="G53" s="2"/>
    </row>
    <row r="54" spans="3:7" ht="16.5" customHeight="1" x14ac:dyDescent="0.4">
      <c r="C54" s="2"/>
      <c r="D54" s="2"/>
      <c r="E54" s="2"/>
      <c r="F54" s="2"/>
      <c r="G54" s="2"/>
    </row>
    <row r="55" spans="3:7" ht="16.5" customHeight="1" x14ac:dyDescent="0.4">
      <c r="C55" s="2"/>
      <c r="D55" s="2"/>
      <c r="E55" s="2"/>
      <c r="F55" s="2"/>
      <c r="G55" s="2"/>
    </row>
    <row r="56" spans="3:7" ht="16.5" customHeight="1" x14ac:dyDescent="0.4">
      <c r="C56" s="2"/>
      <c r="D56" s="2"/>
      <c r="E56" s="2"/>
      <c r="F56" s="2"/>
      <c r="G56" s="2"/>
    </row>
    <row r="57" spans="3:7" ht="16.5" customHeight="1" x14ac:dyDescent="0.4">
      <c r="C57" s="2"/>
      <c r="D57" s="2"/>
      <c r="E57" s="2"/>
      <c r="F57" s="2"/>
      <c r="G57" s="2"/>
    </row>
    <row r="58" spans="3:7" ht="16.5" customHeight="1" x14ac:dyDescent="0.4">
      <c r="C58" s="2"/>
      <c r="D58" s="2"/>
      <c r="E58" s="2"/>
      <c r="F58" s="2"/>
      <c r="G58" s="2"/>
    </row>
    <row r="59" spans="3:7" ht="16.5" customHeight="1" x14ac:dyDescent="0.4">
      <c r="C59" s="2"/>
      <c r="D59" s="2"/>
      <c r="E59" s="2"/>
      <c r="F59" s="2"/>
      <c r="G59" s="2"/>
    </row>
    <row r="60" spans="3:7" ht="16.5" customHeight="1" x14ac:dyDescent="0.4">
      <c r="C60" s="2"/>
      <c r="D60" s="2"/>
      <c r="E60" s="2"/>
      <c r="F60" s="2"/>
      <c r="G60" s="2"/>
    </row>
    <row r="61" spans="3:7" ht="16.5" customHeight="1" x14ac:dyDescent="0.4">
      <c r="C61" s="2"/>
      <c r="D61" s="2"/>
      <c r="E61" s="2"/>
      <c r="F61" s="2"/>
      <c r="G61" s="2"/>
    </row>
    <row r="62" spans="3:7" ht="16.5" customHeight="1" x14ac:dyDescent="0.4">
      <c r="C62" s="2"/>
      <c r="D62" s="2"/>
      <c r="E62" s="2"/>
      <c r="F62" s="2"/>
      <c r="G62" s="2"/>
    </row>
    <row r="63" spans="3:7" ht="16.5" customHeight="1" x14ac:dyDescent="0.4">
      <c r="C63" s="2"/>
      <c r="D63" s="2"/>
      <c r="E63" s="2"/>
      <c r="F63" s="2"/>
      <c r="G63" s="2"/>
    </row>
    <row r="64" spans="3:7" ht="16.5" customHeight="1" x14ac:dyDescent="0.4">
      <c r="C64" s="2"/>
      <c r="D64" s="2"/>
      <c r="E64" s="2"/>
      <c r="F64" s="2"/>
      <c r="G64" s="2"/>
    </row>
    <row r="65" spans="3:7" ht="16.5" customHeight="1" x14ac:dyDescent="0.4">
      <c r="C65" s="2"/>
      <c r="D65" s="2"/>
      <c r="E65" s="2"/>
      <c r="F65" s="2"/>
      <c r="G65" s="2"/>
    </row>
    <row r="66" spans="3:7" ht="16.5" customHeight="1" x14ac:dyDescent="0.4">
      <c r="C66" s="2"/>
      <c r="D66" s="2"/>
      <c r="E66" s="2"/>
      <c r="F66" s="2"/>
      <c r="G66" s="2"/>
    </row>
    <row r="67" spans="3:7" ht="16.5" customHeight="1" x14ac:dyDescent="0.4">
      <c r="C67" s="2"/>
      <c r="D67" s="2"/>
      <c r="E67" s="2"/>
      <c r="F67" s="2"/>
      <c r="G67" s="2"/>
    </row>
    <row r="68" spans="3:7" ht="16.5" customHeight="1" x14ac:dyDescent="0.4">
      <c r="C68" s="2"/>
      <c r="D68" s="2"/>
      <c r="E68" s="2"/>
      <c r="F68" s="2"/>
      <c r="G68" s="2"/>
    </row>
    <row r="69" spans="3:7" ht="16.5" customHeight="1" x14ac:dyDescent="0.4">
      <c r="C69" s="2"/>
      <c r="D69" s="2"/>
      <c r="E69" s="2"/>
      <c r="F69" s="2"/>
      <c r="G69" s="2"/>
    </row>
    <row r="70" spans="3:7" ht="16.5" customHeight="1" x14ac:dyDescent="0.4">
      <c r="C70" s="2"/>
      <c r="D70" s="2"/>
      <c r="E70" s="2"/>
      <c r="F70" s="2"/>
      <c r="G70" s="2"/>
    </row>
    <row r="71" spans="3:7" ht="16.5" customHeight="1" x14ac:dyDescent="0.4">
      <c r="C71" s="2"/>
      <c r="D71" s="2"/>
      <c r="E71" s="2"/>
      <c r="F71" s="2"/>
      <c r="G71" s="2"/>
    </row>
    <row r="72" spans="3:7" ht="16.5" customHeight="1" x14ac:dyDescent="0.4">
      <c r="C72" s="2"/>
      <c r="D72" s="2"/>
      <c r="E72" s="2"/>
      <c r="F72" s="2"/>
      <c r="G72" s="2"/>
    </row>
    <row r="73" spans="3:7" ht="16.5" customHeight="1" x14ac:dyDescent="0.4">
      <c r="C73" s="2"/>
      <c r="D73" s="2"/>
      <c r="E73" s="2"/>
      <c r="F73" s="2"/>
      <c r="G73" s="2"/>
    </row>
    <row r="74" spans="3:7" ht="16.5" customHeight="1" x14ac:dyDescent="0.4">
      <c r="C74" s="2"/>
      <c r="D74" s="2"/>
      <c r="E74" s="2"/>
      <c r="F74" s="2"/>
      <c r="G74" s="2"/>
    </row>
    <row r="75" spans="3:7" ht="16.5" customHeight="1" x14ac:dyDescent="0.4">
      <c r="C75" s="2"/>
      <c r="D75" s="2"/>
      <c r="E75" s="2"/>
      <c r="F75" s="2"/>
      <c r="G75" s="2"/>
    </row>
    <row r="76" spans="3:7" ht="16.5" customHeight="1" x14ac:dyDescent="0.4">
      <c r="C76" s="2"/>
      <c r="D76" s="2"/>
      <c r="E76" s="2"/>
      <c r="F76" s="2"/>
      <c r="G76" s="2"/>
    </row>
    <row r="77" spans="3:7" ht="16.5" customHeight="1" x14ac:dyDescent="0.4">
      <c r="C77" s="2"/>
      <c r="D77" s="2"/>
      <c r="E77" s="2"/>
      <c r="F77" s="2"/>
      <c r="G77" s="2"/>
    </row>
    <row r="78" spans="3:7" ht="16.5" customHeight="1" x14ac:dyDescent="0.4">
      <c r="C78" s="2"/>
      <c r="D78" s="2"/>
      <c r="E78" s="2"/>
      <c r="F78" s="2"/>
      <c r="G78" s="2"/>
    </row>
    <row r="79" spans="3:7" ht="16.5" customHeight="1" x14ac:dyDescent="0.4">
      <c r="C79" s="2"/>
      <c r="D79" s="2"/>
      <c r="E79" s="2"/>
      <c r="F79" s="2"/>
      <c r="G79" s="2"/>
    </row>
    <row r="80" spans="3:7" ht="16.5" customHeight="1" x14ac:dyDescent="0.4">
      <c r="C80" s="2"/>
      <c r="D80" s="2"/>
      <c r="E80" s="2"/>
      <c r="F80" s="2"/>
      <c r="G80" s="2"/>
    </row>
    <row r="81" spans="3:7" ht="16.5" customHeight="1" x14ac:dyDescent="0.4">
      <c r="C81" s="2"/>
      <c r="D81" s="2"/>
      <c r="E81" s="2"/>
      <c r="F81" s="2"/>
      <c r="G81" s="2"/>
    </row>
    <row r="82" spans="3:7" ht="16.5" customHeight="1" x14ac:dyDescent="0.4">
      <c r="C82" s="2"/>
      <c r="D82" s="2"/>
      <c r="E82" s="2"/>
      <c r="F82" s="2"/>
      <c r="G82" s="2"/>
    </row>
    <row r="83" spans="3:7" ht="16.5" customHeight="1" x14ac:dyDescent="0.4">
      <c r="C83" s="2"/>
      <c r="D83" s="2"/>
      <c r="E83" s="2"/>
      <c r="F83" s="2"/>
      <c r="G83" s="2"/>
    </row>
    <row r="84" spans="3:7" ht="16.5" customHeight="1" x14ac:dyDescent="0.4">
      <c r="C84" s="2"/>
      <c r="D84" s="2"/>
      <c r="E84" s="2"/>
      <c r="F84" s="2"/>
      <c r="G84" s="2"/>
    </row>
    <row r="85" spans="3:7" ht="16.5" customHeight="1" x14ac:dyDescent="0.4">
      <c r="C85" s="2"/>
      <c r="D85" s="2"/>
      <c r="E85" s="2"/>
      <c r="F85" s="2"/>
      <c r="G85" s="2"/>
    </row>
    <row r="86" spans="3:7" ht="16.5" customHeight="1" x14ac:dyDescent="0.4">
      <c r="C86" s="2"/>
      <c r="D86" s="2"/>
      <c r="E86" s="2"/>
      <c r="F86" s="2"/>
      <c r="G86" s="2"/>
    </row>
    <row r="87" spans="3:7" ht="16.5" customHeight="1" x14ac:dyDescent="0.4">
      <c r="C87" s="2"/>
      <c r="D87" s="2"/>
      <c r="E87" s="2"/>
      <c r="F87" s="2"/>
      <c r="G87" s="2"/>
    </row>
    <row r="88" spans="3:7" ht="16.5" customHeight="1" x14ac:dyDescent="0.4"/>
    <row r="89" spans="3:7" ht="16.5" customHeight="1" x14ac:dyDescent="0.4"/>
    <row r="90" spans="3:7" ht="16.5" customHeight="1" x14ac:dyDescent="0.4"/>
    <row r="91" spans="3:7" ht="16.5" customHeight="1" x14ac:dyDescent="0.4"/>
    <row r="92" spans="3:7" ht="16.5" customHeight="1" x14ac:dyDescent="0.4"/>
    <row r="93" spans="3:7" ht="16.5" customHeight="1" x14ac:dyDescent="0.4"/>
    <row r="94" spans="3:7" ht="16.5" customHeight="1" x14ac:dyDescent="0.4"/>
    <row r="95" spans="3:7" ht="16.5" customHeight="1" x14ac:dyDescent="0.4"/>
    <row r="96" spans="3:7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</sheetData>
  <mergeCells count="1">
    <mergeCell ref="B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EBFD-8DB8-4674-ABDA-7339F5F8B133}">
  <dimension ref="B1:P992"/>
  <sheetViews>
    <sheetView topLeftCell="A7" zoomScale="85" zoomScaleNormal="85" workbookViewId="0">
      <selection activeCell="K17" sqref="K17"/>
    </sheetView>
  </sheetViews>
  <sheetFormatPr defaultColWidth="13.26953125" defaultRowHeight="15.5" x14ac:dyDescent="0.4"/>
  <cols>
    <col min="1" max="1" width="9.1796875" style="15" bestFit="1" customWidth="1"/>
    <col min="2" max="2" width="14.08984375" style="15" customWidth="1"/>
    <col min="3" max="5" width="14.26953125" style="15" customWidth="1"/>
    <col min="6" max="6" width="12.81640625" style="15" customWidth="1"/>
    <col min="7" max="7" width="11.26953125" style="15" customWidth="1"/>
    <col min="8" max="10" width="12.6328125" style="15" customWidth="1"/>
    <col min="11" max="11" width="13.54296875" style="15" customWidth="1"/>
    <col min="12" max="12" width="12.6328125" style="15" customWidth="1"/>
    <col min="13" max="13" width="11.26953125" style="15" customWidth="1"/>
    <col min="14" max="14" width="12.26953125" style="15" customWidth="1"/>
    <col min="15" max="15" width="10.1796875" style="15" customWidth="1"/>
    <col min="16" max="16" width="9.90625" style="15" customWidth="1"/>
    <col min="17" max="17" width="16.54296875" style="15" bestFit="1" customWidth="1"/>
    <col min="18" max="18" width="16.36328125" style="15" bestFit="1" customWidth="1"/>
    <col min="19" max="19" width="16.1796875" style="15" bestFit="1" customWidth="1"/>
    <col min="20" max="30" width="8" style="15" customWidth="1"/>
    <col min="31" max="16384" width="13.26953125" style="15"/>
  </cols>
  <sheetData>
    <row r="1" spans="2:16" ht="22.5" customHeight="1" x14ac:dyDescent="0.4">
      <c r="B1" s="116" t="s">
        <v>117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6" ht="16.5" customHeight="1" x14ac:dyDescent="0.4"/>
    <row r="3" spans="2:16" ht="16.5" customHeight="1" x14ac:dyDescent="0.4">
      <c r="B3" s="20" t="s">
        <v>86</v>
      </c>
      <c r="C3" s="20">
        <v>101.325</v>
      </c>
      <c r="D3" s="17"/>
      <c r="E3" s="17"/>
    </row>
    <row r="4" spans="2:16" ht="33.5" customHeight="1" x14ac:dyDescent="0.4">
      <c r="B4" s="94" t="s">
        <v>167</v>
      </c>
      <c r="C4" s="95" t="s">
        <v>166</v>
      </c>
      <c r="D4" s="96" t="s">
        <v>164</v>
      </c>
      <c r="E4" s="102" t="s">
        <v>172</v>
      </c>
      <c r="F4" s="98" t="s">
        <v>165</v>
      </c>
    </row>
    <row r="5" spans="2:16" ht="16.5" customHeight="1" x14ac:dyDescent="0.4">
      <c r="B5" s="99">
        <v>20</v>
      </c>
      <c r="C5" s="100">
        <v>400</v>
      </c>
      <c r="D5" s="101">
        <v>0</v>
      </c>
      <c r="E5" s="101">
        <v>0.02</v>
      </c>
      <c r="F5" s="31">
        <f>B5*C5</f>
        <v>8000</v>
      </c>
    </row>
    <row r="6" spans="2:16" ht="16.5" customHeight="1" x14ac:dyDescent="0.4">
      <c r="B6" s="102" t="s">
        <v>171</v>
      </c>
      <c r="C6" s="103" t="s">
        <v>170</v>
      </c>
      <c r="D6" s="103" t="s">
        <v>169</v>
      </c>
      <c r="F6" s="97" t="s">
        <v>168</v>
      </c>
    </row>
    <row r="7" spans="2:16" x14ac:dyDescent="0.4">
      <c r="B7" s="99">
        <v>10</v>
      </c>
      <c r="C7" s="101">
        <v>10</v>
      </c>
      <c r="D7" s="101">
        <v>5</v>
      </c>
      <c r="F7" s="49">
        <f>B7*C7*D7</f>
        <v>500</v>
      </c>
    </row>
    <row r="8" spans="2:16" ht="16.5" customHeight="1" x14ac:dyDescent="0.4"/>
    <row r="9" spans="2:16" s="17" customFormat="1" ht="16.5" customHeight="1" x14ac:dyDescent="0.4">
      <c r="C9" s="20" t="s">
        <v>121</v>
      </c>
      <c r="D9" s="20" t="s">
        <v>120</v>
      </c>
      <c r="E9" s="48" t="s">
        <v>188</v>
      </c>
      <c r="F9" s="48" t="s">
        <v>127</v>
      </c>
      <c r="G9" s="48" t="s">
        <v>150</v>
      </c>
      <c r="H9" s="48" t="s">
        <v>162</v>
      </c>
      <c r="I9" s="48" t="s">
        <v>185</v>
      </c>
      <c r="J9" s="109" t="s">
        <v>153</v>
      </c>
      <c r="K9" s="48" t="s">
        <v>180</v>
      </c>
      <c r="L9" s="52" t="s">
        <v>145</v>
      </c>
      <c r="M9" s="52" t="s">
        <v>146</v>
      </c>
      <c r="N9" s="52" t="s">
        <v>147</v>
      </c>
      <c r="O9" s="52" t="s">
        <v>148</v>
      </c>
      <c r="P9" s="15"/>
    </row>
    <row r="10" spans="2:16" ht="16.5" customHeight="1" thickBot="1" x14ac:dyDescent="0.45">
      <c r="B10" s="103" t="s">
        <v>118</v>
      </c>
      <c r="C10" s="47">
        <v>25</v>
      </c>
      <c r="D10" s="45">
        <v>0.8</v>
      </c>
      <c r="E10" s="111">
        <f>(2166/(273.16+C10))*L10</f>
        <v>23.009551762970787</v>
      </c>
      <c r="F10" s="51">
        <f>(2166/(273.16+C10))*L10*D10</f>
        <v>18.40764141037663</v>
      </c>
      <c r="G10" s="106">
        <f>3.48*101.3/(C10+273)</f>
        <v>1.1829664429530202</v>
      </c>
      <c r="H10" s="106">
        <f>3.48*101.3*(1-0.378*D10*F10/1000/101.3)/(273+C10)</f>
        <v>1.1829014385293508</v>
      </c>
      <c r="I10" s="51">
        <f>C10*C15/1000</f>
        <v>25.75</v>
      </c>
      <c r="J10" s="107">
        <f>2500.9-2.365*C10</f>
        <v>2441.7750000000001</v>
      </c>
      <c r="K10" s="51">
        <f>(J10/1000)*(F10)/H10</f>
        <v>37.997517917218374</v>
      </c>
      <c r="L10" s="53">
        <f>0.61078*EXP(17.269*$C$10/(237.3+$C$10))</f>
        <v>3.1673720930966622</v>
      </c>
      <c r="M10" s="53">
        <f>L10*D10</f>
        <v>2.5338976744773301</v>
      </c>
      <c r="N10" s="54">
        <f>0.62198*$M$10/($C$3-$M$10)</f>
        <v>1.5953194553678357E-2</v>
      </c>
      <c r="O10" s="53">
        <f>1.006*$C$10 +$N$10*(2501+1.805*$C$10)</f>
        <v>65.768827482984307</v>
      </c>
    </row>
    <row r="11" spans="2:16" ht="16.5" customHeight="1" thickBot="1" x14ac:dyDescent="0.45">
      <c r="B11" s="20" t="s">
        <v>119</v>
      </c>
      <c r="C11" s="47">
        <v>5</v>
      </c>
      <c r="D11" s="45">
        <v>0.4</v>
      </c>
      <c r="E11" s="112">
        <f>(2166/(273.16+C11))*L11</f>
        <v>6.7922227680888252</v>
      </c>
      <c r="F11" s="51">
        <f>(2166/(273.16+C11))*L11*D11</f>
        <v>2.7168891072355303</v>
      </c>
      <c r="G11" s="106">
        <f>3.48*101.3/(C11+273)</f>
        <v>1.2680719424460432</v>
      </c>
      <c r="H11" s="106">
        <f>3.48*101.3*(1-0.378*D10*F11/1000/101.3)/(273+C10)</f>
        <v>1.1829568485782356</v>
      </c>
      <c r="I11" s="51">
        <f>C11*C15/1000</f>
        <v>5.15</v>
      </c>
      <c r="J11" s="107">
        <f>2500.9-2.365*C11</f>
        <v>2489.0750000000003</v>
      </c>
      <c r="K11" s="51">
        <f>(J11/1000)*(F11)/H11</f>
        <v>5.7166419575828114</v>
      </c>
      <c r="L11" s="55">
        <f>0.61078*EXP(17.269*$C$11/(237.3+$C$11))</f>
        <v>0.87226439758614394</v>
      </c>
      <c r="M11" s="55">
        <f>L11*D11</f>
        <v>0.34890575903445759</v>
      </c>
      <c r="N11" s="56">
        <f>0.62198*$M$11/($C$3-$M$11)</f>
        <v>2.1491463463261086E-3</v>
      </c>
      <c r="O11" s="51">
        <f>1.006*$C$11 +$N$11*(2501+1.805*$C$11)</f>
        <v>10.424411057937192</v>
      </c>
    </row>
    <row r="12" spans="2:16" ht="16.5" customHeight="1" x14ac:dyDescent="0.4"/>
    <row r="13" spans="2:16" ht="16.5" customHeight="1" x14ac:dyDescent="0.4">
      <c r="F13" s="104" t="s">
        <v>174</v>
      </c>
      <c r="G13" s="104" t="s">
        <v>175</v>
      </c>
      <c r="H13" s="105" t="s">
        <v>176</v>
      </c>
      <c r="I13" s="17"/>
      <c r="J13" s="17"/>
    </row>
    <row r="14" spans="2:16" ht="16.5" customHeight="1" x14ac:dyDescent="0.4">
      <c r="B14" s="50" t="s">
        <v>16</v>
      </c>
      <c r="C14" s="49">
        <v>0.1</v>
      </c>
      <c r="F14" s="108">
        <f>(O10-O11)*G10*F7*E5/3.6</f>
        <v>181.86274287680195</v>
      </c>
      <c r="G14" s="108">
        <f>(C10-C11)*C14*(B7*C7*2+C7*D7*2+B7*D7*2)</f>
        <v>800</v>
      </c>
      <c r="H14" s="51">
        <f>D5+F5-G14-F14</f>
        <v>7018.1372571231977</v>
      </c>
    </row>
    <row r="15" spans="2:16" ht="16.5" customHeight="1" x14ac:dyDescent="0.4">
      <c r="B15" s="21" t="s">
        <v>149</v>
      </c>
      <c r="C15" s="21">
        <v>1030</v>
      </c>
    </row>
    <row r="16" spans="2:16" ht="16.5" customHeight="1" x14ac:dyDescent="0.4">
      <c r="K16" s="92"/>
    </row>
    <row r="17" spans="2:13" ht="16.5" customHeight="1" x14ac:dyDescent="0.4">
      <c r="B17" s="1" t="s">
        <v>189</v>
      </c>
      <c r="F17" s="19" t="s">
        <v>178</v>
      </c>
    </row>
    <row r="18" spans="2:13" ht="16.5" customHeight="1" x14ac:dyDescent="0.4">
      <c r="B18" s="1" t="s">
        <v>186</v>
      </c>
      <c r="F18" s="16" t="s">
        <v>181</v>
      </c>
      <c r="M18" s="22"/>
    </row>
    <row r="19" spans="2:13" ht="20" customHeight="1" x14ac:dyDescent="0.4">
      <c r="B19" s="110" t="s">
        <v>179</v>
      </c>
      <c r="F19" s="15" t="s">
        <v>91</v>
      </c>
      <c r="G19" s="17"/>
    </row>
    <row r="20" spans="2:13" ht="16.5" customHeight="1" x14ac:dyDescent="0.4">
      <c r="F20" s="15" t="s">
        <v>177</v>
      </c>
      <c r="G20" s="18"/>
    </row>
    <row r="21" spans="2:13" ht="16.5" customHeight="1" x14ac:dyDescent="0.4">
      <c r="B21" s="1" t="s">
        <v>84</v>
      </c>
      <c r="G21" s="18"/>
    </row>
    <row r="22" spans="2:13" ht="16.5" customHeight="1" x14ac:dyDescent="0.4">
      <c r="B22" s="1" t="s">
        <v>85</v>
      </c>
      <c r="F22" s="19" t="s">
        <v>88</v>
      </c>
    </row>
    <row r="23" spans="2:13" ht="16.5" customHeight="1" x14ac:dyDescent="0.4">
      <c r="B23" s="1" t="s">
        <v>187</v>
      </c>
      <c r="F23" s="15" t="s">
        <v>87</v>
      </c>
    </row>
    <row r="24" spans="2:13" ht="16.5" customHeight="1" x14ac:dyDescent="0.4">
      <c r="B24" s="113" t="s">
        <v>190</v>
      </c>
      <c r="F24" s="15" t="s">
        <v>89</v>
      </c>
    </row>
    <row r="25" spans="2:13" ht="16.5" customHeight="1" x14ac:dyDescent="0.4">
      <c r="B25" s="1" t="s">
        <v>82</v>
      </c>
      <c r="F25" s="15" t="s">
        <v>152</v>
      </c>
    </row>
    <row r="26" spans="2:13" ht="16.5" customHeight="1" x14ac:dyDescent="0.4">
      <c r="B26" s="1" t="s">
        <v>83</v>
      </c>
      <c r="C26" s="1"/>
      <c r="F26" s="15" t="s">
        <v>173</v>
      </c>
    </row>
    <row r="27" spans="2:13" ht="16.5" customHeight="1" x14ac:dyDescent="0.4">
      <c r="B27" s="15" t="s">
        <v>93</v>
      </c>
      <c r="C27" s="1"/>
      <c r="F27" s="15" t="s">
        <v>90</v>
      </c>
    </row>
    <row r="28" spans="2:13" ht="16.5" customHeight="1" x14ac:dyDescent="0.4">
      <c r="B28" s="15" t="s">
        <v>151</v>
      </c>
      <c r="C28" s="1"/>
      <c r="F28" s="15" t="s">
        <v>183</v>
      </c>
    </row>
    <row r="29" spans="2:13" ht="16.5" customHeight="1" x14ac:dyDescent="0.4">
      <c r="C29" s="1"/>
      <c r="F29" s="16" t="s">
        <v>184</v>
      </c>
    </row>
    <row r="30" spans="2:13" ht="16.5" customHeight="1" x14ac:dyDescent="0.4">
      <c r="B30" s="1"/>
      <c r="C30" s="1"/>
      <c r="F30" s="16" t="s">
        <v>92</v>
      </c>
    </row>
    <row r="31" spans="2:13" ht="16.5" customHeight="1" x14ac:dyDescent="0.4">
      <c r="B31" s="3"/>
      <c r="C31" s="1"/>
      <c r="F31" s="16" t="s">
        <v>182</v>
      </c>
    </row>
    <row r="32" spans="2:13" ht="16.5" customHeight="1" x14ac:dyDescent="0.4">
      <c r="B32" s="1"/>
      <c r="C32" s="2"/>
      <c r="D32" s="2"/>
      <c r="E32" s="2"/>
      <c r="G32" s="2"/>
      <c r="H32" s="2"/>
      <c r="I32" s="2"/>
      <c r="J32" s="2"/>
      <c r="K32" s="16"/>
    </row>
    <row r="33" spans="3:11" ht="16.5" customHeight="1" x14ac:dyDescent="0.4">
      <c r="C33" s="17"/>
    </row>
    <row r="34" spans="3:11" ht="16.5" customHeight="1" x14ac:dyDescent="0.4">
      <c r="C34" s="8"/>
    </row>
    <row r="35" spans="3:11" ht="16.5" customHeight="1" x14ac:dyDescent="0.4">
      <c r="C35" s="8"/>
    </row>
    <row r="36" spans="3:11" ht="16.5" customHeight="1" x14ac:dyDescent="0.4">
      <c r="C36" s="16"/>
      <c r="D36" s="16"/>
      <c r="E36" s="16"/>
      <c r="G36" s="16"/>
      <c r="K36" s="16"/>
    </row>
    <row r="37" spans="3:11" ht="16.5" customHeight="1" x14ac:dyDescent="0.4">
      <c r="C37" s="16"/>
      <c r="D37" s="16"/>
      <c r="E37" s="16"/>
      <c r="G37" s="16"/>
      <c r="K37" s="16"/>
    </row>
    <row r="38" spans="3:11" ht="16.5" customHeight="1" x14ac:dyDescent="0.4">
      <c r="C38" s="16"/>
      <c r="D38" s="16"/>
      <c r="E38" s="16"/>
      <c r="G38" s="16"/>
      <c r="H38" s="16"/>
      <c r="I38" s="16"/>
      <c r="J38" s="16"/>
      <c r="K38" s="16"/>
    </row>
    <row r="39" spans="3:11" ht="16.5" customHeight="1" x14ac:dyDescent="0.4">
      <c r="C39" s="16"/>
      <c r="D39" s="16"/>
      <c r="E39" s="16"/>
      <c r="G39" s="16"/>
      <c r="H39" s="16"/>
      <c r="I39" s="16"/>
      <c r="J39" s="16"/>
      <c r="K39" s="16"/>
    </row>
    <row r="40" spans="3:11" ht="16.5" customHeight="1" x14ac:dyDescent="0.4">
      <c r="C40" s="16"/>
      <c r="D40" s="16"/>
      <c r="E40" s="16"/>
      <c r="G40" s="16"/>
      <c r="H40" s="16"/>
      <c r="I40" s="16"/>
      <c r="J40" s="16"/>
      <c r="K40" s="16"/>
    </row>
    <row r="41" spans="3:11" ht="16.5" customHeight="1" x14ac:dyDescent="0.4">
      <c r="C41" s="16"/>
      <c r="D41" s="16"/>
      <c r="E41" s="16"/>
      <c r="G41" s="16"/>
      <c r="H41" s="16"/>
      <c r="I41" s="16"/>
      <c r="J41" s="16"/>
      <c r="K41" s="16"/>
    </row>
    <row r="42" spans="3:11" ht="16.5" customHeight="1" x14ac:dyDescent="0.4">
      <c r="C42" s="16"/>
      <c r="D42" s="16"/>
      <c r="E42" s="16"/>
      <c r="F42" s="16"/>
      <c r="G42" s="16"/>
      <c r="I42" s="16"/>
      <c r="J42" s="16"/>
      <c r="K42" s="16"/>
    </row>
    <row r="43" spans="3:11" ht="16.5" customHeight="1" x14ac:dyDescent="0.4">
      <c r="C43" s="16"/>
      <c r="D43" s="16"/>
      <c r="E43" s="16"/>
      <c r="F43" s="16"/>
      <c r="G43" s="16"/>
      <c r="I43" s="16"/>
      <c r="J43" s="16"/>
      <c r="K43" s="16"/>
    </row>
    <row r="44" spans="3:11" ht="16.5" customHeight="1" x14ac:dyDescent="0.4">
      <c r="C44" s="16"/>
      <c r="D44" s="16"/>
      <c r="E44" s="16"/>
      <c r="F44" s="16"/>
      <c r="G44" s="16"/>
      <c r="I44" s="16"/>
      <c r="J44" s="16"/>
      <c r="K44" s="16"/>
    </row>
    <row r="45" spans="3:11" ht="16.5" customHeight="1" x14ac:dyDescent="0.4">
      <c r="C45" s="16"/>
      <c r="D45" s="16"/>
      <c r="E45" s="16"/>
      <c r="F45" s="16"/>
      <c r="G45" s="16"/>
      <c r="I45" s="16"/>
      <c r="J45" s="16"/>
      <c r="K45" s="16"/>
    </row>
    <row r="46" spans="3:11" ht="16.5" customHeight="1" x14ac:dyDescent="0.4">
      <c r="C46" s="16"/>
      <c r="D46" s="16"/>
      <c r="E46" s="16"/>
      <c r="F46" s="16"/>
      <c r="G46" s="16"/>
      <c r="I46" s="16"/>
      <c r="J46" s="16"/>
      <c r="K46" s="16"/>
    </row>
    <row r="47" spans="3:11" ht="16.5" customHeight="1" x14ac:dyDescent="0.4">
      <c r="C47" s="16"/>
      <c r="D47" s="16"/>
      <c r="E47" s="16"/>
      <c r="F47" s="16"/>
      <c r="G47" s="16"/>
      <c r="H47" s="16"/>
      <c r="I47" s="16"/>
      <c r="J47" s="16"/>
      <c r="K47" s="16"/>
    </row>
    <row r="48" spans="3:11" ht="16.5" customHeight="1" x14ac:dyDescent="0.4">
      <c r="C48" s="16"/>
      <c r="D48" s="16"/>
      <c r="E48" s="16"/>
      <c r="F48" s="16"/>
      <c r="G48" s="16"/>
      <c r="H48" s="16"/>
      <c r="I48" s="16"/>
      <c r="J48" s="16"/>
      <c r="K48" s="16"/>
    </row>
    <row r="49" spans="3:11" ht="16.5" customHeight="1" x14ac:dyDescent="0.4">
      <c r="C49" s="16"/>
      <c r="D49" s="16"/>
      <c r="E49" s="16"/>
      <c r="F49" s="16"/>
      <c r="G49" s="16"/>
      <c r="H49" s="16"/>
      <c r="I49" s="16"/>
      <c r="J49" s="16"/>
      <c r="K49" s="16"/>
    </row>
    <row r="50" spans="3:11" ht="16.5" customHeight="1" x14ac:dyDescent="0.4">
      <c r="C50" s="16"/>
      <c r="D50" s="16"/>
      <c r="E50" s="16"/>
      <c r="F50" s="16"/>
      <c r="G50" s="16"/>
      <c r="H50" s="16"/>
      <c r="I50" s="16"/>
      <c r="J50" s="16"/>
      <c r="K50" s="16"/>
    </row>
    <row r="51" spans="3:11" ht="16.5" customHeight="1" x14ac:dyDescent="0.4">
      <c r="C51" s="16"/>
      <c r="D51" s="16"/>
      <c r="E51" s="16"/>
      <c r="F51" s="16"/>
      <c r="G51" s="16"/>
      <c r="H51" s="16"/>
      <c r="I51" s="16"/>
      <c r="J51" s="16"/>
      <c r="K51" s="16"/>
    </row>
    <row r="52" spans="3:11" ht="16.5" customHeight="1" x14ac:dyDescent="0.4">
      <c r="C52" s="16"/>
      <c r="D52" s="16"/>
      <c r="E52" s="16"/>
      <c r="F52" s="16"/>
      <c r="G52" s="16"/>
      <c r="H52" s="16"/>
      <c r="I52" s="16"/>
      <c r="J52" s="16"/>
      <c r="K52" s="16"/>
    </row>
    <row r="53" spans="3:11" ht="16.5" customHeight="1" x14ac:dyDescent="0.4">
      <c r="C53" s="16"/>
      <c r="D53" s="16"/>
      <c r="E53" s="16"/>
      <c r="F53" s="16"/>
      <c r="G53" s="16"/>
      <c r="H53" s="16"/>
      <c r="I53" s="16"/>
      <c r="J53" s="16"/>
      <c r="K53" s="16"/>
    </row>
    <row r="54" spans="3:11" ht="16.5" customHeight="1" x14ac:dyDescent="0.4">
      <c r="C54" s="16"/>
      <c r="D54" s="16"/>
      <c r="E54" s="16"/>
      <c r="F54" s="16"/>
      <c r="G54" s="16"/>
      <c r="H54" s="16"/>
      <c r="I54" s="16"/>
      <c r="J54" s="16"/>
      <c r="K54" s="16"/>
    </row>
    <row r="55" spans="3:11" ht="16.5" customHeight="1" x14ac:dyDescent="0.4">
      <c r="C55" s="16"/>
      <c r="D55" s="16"/>
      <c r="E55" s="16"/>
      <c r="F55" s="16"/>
      <c r="G55" s="16"/>
      <c r="H55" s="16"/>
      <c r="I55" s="16"/>
      <c r="J55" s="16"/>
      <c r="K55" s="16"/>
    </row>
    <row r="56" spans="3:11" ht="16.5" customHeight="1" x14ac:dyDescent="0.4">
      <c r="C56" s="16"/>
      <c r="D56" s="16"/>
      <c r="E56" s="16"/>
      <c r="F56" s="16"/>
      <c r="G56" s="16"/>
      <c r="H56" s="16"/>
      <c r="I56" s="16"/>
      <c r="J56" s="16"/>
      <c r="K56" s="16"/>
    </row>
    <row r="57" spans="3:11" ht="16.5" customHeight="1" x14ac:dyDescent="0.4">
      <c r="C57" s="16"/>
      <c r="D57" s="16"/>
      <c r="E57" s="16"/>
      <c r="F57" s="16"/>
      <c r="G57" s="16"/>
      <c r="H57" s="16"/>
      <c r="I57" s="16"/>
      <c r="J57" s="16"/>
      <c r="K57" s="16"/>
    </row>
    <row r="58" spans="3:11" ht="16.5" customHeight="1" x14ac:dyDescent="0.4">
      <c r="C58" s="16"/>
      <c r="D58" s="16"/>
      <c r="E58" s="16"/>
      <c r="F58" s="16"/>
      <c r="G58" s="16"/>
      <c r="H58" s="16"/>
      <c r="I58" s="16"/>
      <c r="J58" s="16"/>
      <c r="K58" s="16"/>
    </row>
    <row r="59" spans="3:11" ht="16.5" customHeight="1" x14ac:dyDescent="0.4">
      <c r="C59" s="16"/>
      <c r="D59" s="16"/>
      <c r="E59" s="16"/>
      <c r="F59" s="16"/>
      <c r="G59" s="16"/>
      <c r="H59" s="16"/>
      <c r="I59" s="16"/>
      <c r="J59" s="16"/>
      <c r="K59" s="16"/>
    </row>
    <row r="60" spans="3:11" ht="16.5" customHeight="1" x14ac:dyDescent="0.4">
      <c r="C60" s="16"/>
      <c r="D60" s="16"/>
      <c r="E60" s="16"/>
      <c r="F60" s="16"/>
      <c r="G60" s="16"/>
      <c r="H60" s="16"/>
      <c r="I60" s="16"/>
      <c r="J60" s="16"/>
      <c r="K60" s="16"/>
    </row>
    <row r="61" spans="3:11" ht="16.5" customHeight="1" x14ac:dyDescent="0.4">
      <c r="C61" s="16"/>
      <c r="D61" s="16"/>
      <c r="E61" s="16"/>
      <c r="F61" s="16"/>
      <c r="G61" s="16"/>
      <c r="H61" s="16"/>
      <c r="I61" s="16"/>
      <c r="J61" s="16"/>
      <c r="K61" s="16"/>
    </row>
    <row r="62" spans="3:11" ht="16.5" customHeight="1" x14ac:dyDescent="0.4">
      <c r="C62" s="16"/>
      <c r="D62" s="16"/>
      <c r="E62" s="16"/>
      <c r="F62" s="16"/>
      <c r="G62" s="16"/>
      <c r="H62" s="16"/>
      <c r="I62" s="16"/>
      <c r="J62" s="16"/>
      <c r="K62" s="16"/>
    </row>
    <row r="63" spans="3:11" ht="16.5" customHeight="1" x14ac:dyDescent="0.4">
      <c r="C63" s="16"/>
      <c r="D63" s="16"/>
      <c r="E63" s="16"/>
      <c r="F63" s="16"/>
      <c r="G63" s="16"/>
      <c r="H63" s="16"/>
      <c r="I63" s="16"/>
      <c r="J63" s="16"/>
      <c r="K63" s="16"/>
    </row>
    <row r="64" spans="3:11" ht="16.5" customHeight="1" x14ac:dyDescent="0.4">
      <c r="C64" s="16"/>
      <c r="D64" s="16"/>
      <c r="E64" s="16"/>
      <c r="F64" s="16"/>
      <c r="G64" s="16"/>
      <c r="H64" s="16"/>
      <c r="I64" s="16"/>
      <c r="J64" s="16"/>
      <c r="K64" s="16"/>
    </row>
    <row r="65" spans="3:11" ht="16.5" customHeight="1" x14ac:dyDescent="0.4">
      <c r="C65" s="16"/>
      <c r="D65" s="16"/>
      <c r="E65" s="16"/>
      <c r="F65" s="16"/>
      <c r="G65" s="16"/>
      <c r="H65" s="16"/>
      <c r="I65" s="16"/>
      <c r="J65" s="16"/>
      <c r="K65" s="16"/>
    </row>
    <row r="66" spans="3:11" ht="16.5" customHeight="1" x14ac:dyDescent="0.4">
      <c r="C66" s="16"/>
      <c r="D66" s="16"/>
      <c r="E66" s="16"/>
      <c r="F66" s="16"/>
      <c r="G66" s="16"/>
      <c r="H66" s="16"/>
      <c r="I66" s="16"/>
      <c r="J66" s="16"/>
      <c r="K66" s="16"/>
    </row>
    <row r="67" spans="3:11" ht="16.5" customHeight="1" x14ac:dyDescent="0.4">
      <c r="C67" s="16"/>
      <c r="D67" s="16"/>
      <c r="E67" s="16"/>
      <c r="F67" s="16"/>
      <c r="G67" s="16"/>
      <c r="H67" s="16"/>
      <c r="I67" s="16"/>
      <c r="J67" s="16"/>
      <c r="K67" s="16"/>
    </row>
    <row r="68" spans="3:11" ht="16.5" customHeight="1" x14ac:dyDescent="0.4">
      <c r="C68" s="16"/>
      <c r="D68" s="16"/>
      <c r="E68" s="16"/>
      <c r="F68" s="16"/>
      <c r="G68" s="16"/>
      <c r="H68" s="16"/>
      <c r="I68" s="16"/>
      <c r="J68" s="16"/>
      <c r="K68" s="16"/>
    </row>
    <row r="69" spans="3:11" ht="16.5" customHeight="1" x14ac:dyDescent="0.4">
      <c r="C69" s="16"/>
      <c r="D69" s="16"/>
      <c r="E69" s="16"/>
      <c r="F69" s="16"/>
      <c r="G69" s="16"/>
      <c r="H69" s="16"/>
      <c r="I69" s="16"/>
      <c r="J69" s="16"/>
      <c r="K69" s="16"/>
    </row>
    <row r="70" spans="3:11" ht="16.5" customHeight="1" x14ac:dyDescent="0.4">
      <c r="C70" s="16"/>
      <c r="D70" s="16"/>
      <c r="E70" s="16"/>
      <c r="F70" s="16"/>
      <c r="G70" s="16"/>
      <c r="H70" s="16"/>
      <c r="I70" s="16"/>
      <c r="J70" s="16"/>
      <c r="K70" s="16"/>
    </row>
    <row r="71" spans="3:11" ht="16.5" customHeight="1" x14ac:dyDescent="0.4">
      <c r="C71" s="16"/>
      <c r="D71" s="16"/>
      <c r="E71" s="16"/>
      <c r="F71" s="16"/>
      <c r="G71" s="16"/>
      <c r="H71" s="16"/>
      <c r="I71" s="16"/>
      <c r="J71" s="16"/>
      <c r="K71" s="16"/>
    </row>
    <row r="72" spans="3:11" ht="16.5" customHeight="1" x14ac:dyDescent="0.4">
      <c r="C72" s="16"/>
      <c r="D72" s="16"/>
      <c r="E72" s="16"/>
      <c r="F72" s="16"/>
      <c r="G72" s="16"/>
      <c r="H72" s="16"/>
      <c r="I72" s="16"/>
      <c r="J72" s="16"/>
      <c r="K72" s="16"/>
    </row>
    <row r="73" spans="3:11" ht="16.5" customHeight="1" x14ac:dyDescent="0.4">
      <c r="C73" s="16"/>
      <c r="D73" s="16"/>
      <c r="E73" s="16"/>
      <c r="F73" s="16"/>
      <c r="G73" s="16"/>
      <c r="H73" s="16"/>
      <c r="I73" s="16"/>
      <c r="J73" s="16"/>
      <c r="K73" s="16"/>
    </row>
    <row r="74" spans="3:11" ht="16.5" customHeight="1" x14ac:dyDescent="0.4">
      <c r="C74" s="16"/>
      <c r="D74" s="16"/>
      <c r="E74" s="16"/>
      <c r="F74" s="16"/>
      <c r="G74" s="16"/>
      <c r="H74" s="16"/>
      <c r="I74" s="16"/>
      <c r="J74" s="16"/>
      <c r="K74" s="16"/>
    </row>
    <row r="75" spans="3:11" ht="16.5" customHeight="1" x14ac:dyDescent="0.4">
      <c r="C75" s="16"/>
      <c r="D75" s="16"/>
      <c r="E75" s="16"/>
      <c r="F75" s="16"/>
      <c r="G75" s="16"/>
      <c r="H75" s="16"/>
      <c r="I75" s="16"/>
      <c r="J75" s="16"/>
      <c r="K75" s="16"/>
    </row>
    <row r="76" spans="3:11" ht="16.5" customHeight="1" x14ac:dyDescent="0.4">
      <c r="C76" s="16"/>
      <c r="D76" s="16"/>
      <c r="E76" s="16"/>
      <c r="F76" s="16"/>
      <c r="G76" s="16"/>
      <c r="H76" s="16"/>
      <c r="I76" s="16"/>
      <c r="J76" s="16"/>
      <c r="K76" s="16"/>
    </row>
    <row r="77" spans="3:11" ht="16.5" customHeight="1" x14ac:dyDescent="0.4">
      <c r="C77" s="16"/>
      <c r="D77" s="16"/>
      <c r="E77" s="16"/>
      <c r="F77" s="16"/>
      <c r="G77" s="16"/>
      <c r="H77" s="16"/>
      <c r="I77" s="16"/>
      <c r="J77" s="16"/>
      <c r="K77" s="16"/>
    </row>
    <row r="78" spans="3:11" ht="16.5" customHeight="1" x14ac:dyDescent="0.4">
      <c r="C78" s="16"/>
      <c r="D78" s="16"/>
      <c r="E78" s="16"/>
      <c r="F78" s="16"/>
      <c r="G78" s="16"/>
      <c r="H78" s="16"/>
      <c r="I78" s="16"/>
      <c r="J78" s="16"/>
      <c r="K78" s="16"/>
    </row>
    <row r="79" spans="3:11" ht="16.5" customHeight="1" x14ac:dyDescent="0.4">
      <c r="C79" s="16"/>
      <c r="D79" s="16"/>
      <c r="E79" s="16"/>
      <c r="F79" s="16"/>
      <c r="G79" s="16"/>
      <c r="H79" s="16"/>
      <c r="I79" s="16"/>
      <c r="J79" s="16"/>
      <c r="K79" s="16"/>
    </row>
    <row r="80" spans="3:11" ht="16.5" customHeight="1" x14ac:dyDescent="0.4">
      <c r="C80" s="16"/>
      <c r="D80" s="16"/>
      <c r="E80" s="16"/>
      <c r="F80" s="16"/>
      <c r="G80" s="16"/>
      <c r="H80" s="16"/>
      <c r="I80" s="16"/>
      <c r="J80" s="16"/>
      <c r="K80" s="16"/>
    </row>
    <row r="81" spans="3:11" ht="16.5" customHeight="1" x14ac:dyDescent="0.4">
      <c r="C81" s="16"/>
      <c r="D81" s="16"/>
      <c r="E81" s="16"/>
      <c r="F81" s="16"/>
      <c r="G81" s="16"/>
      <c r="H81" s="16"/>
      <c r="I81" s="16"/>
      <c r="J81" s="16"/>
      <c r="K81" s="16"/>
    </row>
    <row r="82" spans="3:11" ht="16.5" customHeight="1" x14ac:dyDescent="0.4">
      <c r="C82" s="16"/>
      <c r="D82" s="16"/>
      <c r="E82" s="16"/>
      <c r="F82" s="16"/>
      <c r="G82" s="16"/>
      <c r="H82" s="16"/>
      <c r="I82" s="16"/>
      <c r="J82" s="16"/>
      <c r="K82" s="16"/>
    </row>
    <row r="83" spans="3:11" ht="16.5" customHeight="1" x14ac:dyDescent="0.4"/>
    <row r="84" spans="3:11" ht="16.5" customHeight="1" x14ac:dyDescent="0.4"/>
    <row r="85" spans="3:11" ht="16.5" customHeight="1" x14ac:dyDescent="0.4"/>
    <row r="86" spans="3:11" ht="16.5" customHeight="1" x14ac:dyDescent="0.4"/>
    <row r="87" spans="3:11" ht="16.5" customHeight="1" x14ac:dyDescent="0.4"/>
    <row r="88" spans="3:11" ht="16.5" customHeight="1" x14ac:dyDescent="0.4"/>
    <row r="89" spans="3:11" ht="16.5" customHeight="1" x14ac:dyDescent="0.4"/>
    <row r="90" spans="3:11" ht="16.5" customHeight="1" x14ac:dyDescent="0.4"/>
    <row r="91" spans="3:11" ht="16.5" customHeight="1" x14ac:dyDescent="0.4"/>
    <row r="92" spans="3:11" ht="16.5" customHeight="1" x14ac:dyDescent="0.4"/>
    <row r="93" spans="3:11" ht="16.5" customHeight="1" x14ac:dyDescent="0.4"/>
    <row r="94" spans="3:11" ht="16.5" customHeight="1" x14ac:dyDescent="0.4"/>
    <row r="95" spans="3:11" ht="16.5" customHeight="1" x14ac:dyDescent="0.4"/>
    <row r="96" spans="3:11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</sheetData>
  <mergeCells count="1">
    <mergeCell ref="B1:M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B51B-3660-4245-BFFF-D2667CD50932}">
  <dimension ref="A1:W27"/>
  <sheetViews>
    <sheetView tabSelected="1" zoomScale="78" zoomScaleNormal="89" workbookViewId="0">
      <selection activeCell="B29" sqref="B29"/>
    </sheetView>
  </sheetViews>
  <sheetFormatPr defaultColWidth="10.453125" defaultRowHeight="17" x14ac:dyDescent="0.4"/>
  <cols>
    <col min="1" max="1" width="1.1796875" style="57" customWidth="1"/>
    <col min="2" max="2" width="13.08984375" style="57" customWidth="1"/>
    <col min="3" max="3" width="19.36328125" style="57" customWidth="1"/>
    <col min="4" max="5" width="10.453125" style="57"/>
    <col min="6" max="6" width="12.453125" style="57" customWidth="1"/>
    <col min="7" max="7" width="12.1796875" style="57" customWidth="1"/>
    <col min="8" max="8" width="13.453125" style="57" customWidth="1"/>
    <col min="9" max="9" width="10.453125" style="57"/>
    <col min="10" max="10" width="15.6328125" style="57" customWidth="1"/>
    <col min="11" max="11" width="12.81640625" style="57" customWidth="1"/>
    <col min="12" max="12" width="10.6328125" style="57" customWidth="1"/>
    <col min="13" max="13" width="1.26953125" style="57" customWidth="1"/>
    <col min="14" max="14" width="10.453125" style="57"/>
    <col min="15" max="15" width="10.6328125" style="57" customWidth="1"/>
    <col min="16" max="16" width="10.453125" style="57"/>
    <col min="17" max="17" width="11.6328125" style="57" customWidth="1"/>
    <col min="18" max="18" width="13" style="57" customWidth="1"/>
    <col min="19" max="20" width="10.453125" style="57"/>
    <col min="21" max="21" width="1.54296875" style="57" customWidth="1"/>
    <col min="22" max="16384" width="10.453125" style="57"/>
  </cols>
  <sheetData>
    <row r="1" spans="1:21" ht="27.5" x14ac:dyDescent="0.6">
      <c r="B1" s="117" t="s">
        <v>81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1" ht="10" customHeight="1" thickBot="1" x14ac:dyDescent="0.6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2" thickBot="1" x14ac:dyDescent="0.5">
      <c r="A3" s="59"/>
      <c r="B3" s="60" t="s">
        <v>80</v>
      </c>
      <c r="C3" s="61" t="s">
        <v>79</v>
      </c>
      <c r="D3" s="62">
        <v>2.66</v>
      </c>
      <c r="E3" s="61"/>
      <c r="F3" s="61" t="s">
        <v>78</v>
      </c>
      <c r="G3" s="63">
        <f>D3*G5*G6*G7</f>
        <v>0.20800148233938509</v>
      </c>
      <c r="H3" s="61"/>
      <c r="I3" s="64" t="s">
        <v>201</v>
      </c>
      <c r="J3" s="61"/>
      <c r="K3" s="65">
        <f>F15+D7+G4*G3</f>
        <v>2672.0388835636122</v>
      </c>
      <c r="L3" s="66"/>
      <c r="M3" s="59"/>
      <c r="N3" s="67" t="s">
        <v>77</v>
      </c>
      <c r="O3" s="68"/>
      <c r="P3" s="61"/>
      <c r="Q3" s="61"/>
      <c r="R3" s="61"/>
      <c r="S3" s="61"/>
      <c r="T3" s="66"/>
      <c r="U3" s="59"/>
    </row>
    <row r="4" spans="1:21" ht="19" x14ac:dyDescent="0.5">
      <c r="A4" s="59"/>
      <c r="B4" s="69"/>
      <c r="C4" s="70" t="s">
        <v>76</v>
      </c>
      <c r="D4" s="71" t="s">
        <v>163</v>
      </c>
      <c r="E4" s="70"/>
      <c r="F4" s="70" t="s">
        <v>75</v>
      </c>
      <c r="G4" s="72">
        <f>K16*1.65+(K15+K17)*1.4</f>
        <v>2077.5489573346113</v>
      </c>
      <c r="H4" s="70"/>
      <c r="I4" s="73" t="s">
        <v>200</v>
      </c>
      <c r="J4" s="70"/>
      <c r="K4" s="72">
        <f>4*G4*F15*G3</f>
        <v>3111196.3543021008</v>
      </c>
      <c r="L4" s="74"/>
      <c r="M4" s="59"/>
      <c r="N4" s="69"/>
      <c r="O4" s="70" t="s">
        <v>72</v>
      </c>
      <c r="P4" s="70"/>
      <c r="Q4" s="70"/>
      <c r="R4" s="76">
        <f>K11*K20*K21</f>
        <v>8.4489659294323449E-2</v>
      </c>
      <c r="S4" s="70" t="s">
        <v>46</v>
      </c>
      <c r="T4" s="74"/>
      <c r="U4" s="59"/>
    </row>
    <row r="5" spans="1:21" ht="19" x14ac:dyDescent="0.5">
      <c r="A5" s="59"/>
      <c r="B5" s="69"/>
      <c r="C5" s="70" t="s">
        <v>73</v>
      </c>
      <c r="D5" s="71" t="s">
        <v>163</v>
      </c>
      <c r="E5" s="70"/>
      <c r="F5" s="70" t="s">
        <v>193</v>
      </c>
      <c r="G5" s="76">
        <f>(2*(D13+5)^2*(D9+D10)^2-(D13+5)^4)/(D9+D10)^4</f>
        <v>1</v>
      </c>
      <c r="H5" s="70"/>
      <c r="I5" s="70" t="s">
        <v>191</v>
      </c>
      <c r="J5" s="70"/>
      <c r="K5" s="72">
        <f>G4</f>
        <v>2077.5489573346113</v>
      </c>
      <c r="L5" s="74"/>
      <c r="M5" s="59"/>
      <c r="N5" s="69"/>
      <c r="O5" s="70" t="s">
        <v>70</v>
      </c>
      <c r="P5" s="70"/>
      <c r="Q5" s="70"/>
      <c r="R5" s="76">
        <f>H20*H22*(F15-F16)/3600</f>
        <v>2.963153977656801</v>
      </c>
      <c r="S5" s="70" t="s">
        <v>46</v>
      </c>
      <c r="T5" s="74"/>
      <c r="U5" s="59"/>
    </row>
    <row r="6" spans="1:21" ht="19" x14ac:dyDescent="0.5">
      <c r="A6" s="59"/>
      <c r="B6" s="69"/>
      <c r="C6" s="70" t="s">
        <v>71</v>
      </c>
      <c r="D6" s="71">
        <v>100</v>
      </c>
      <c r="E6" s="70"/>
      <c r="F6" s="70" t="s">
        <v>192</v>
      </c>
      <c r="G6" s="76">
        <f>IF(G25&gt;0,1/(1+100/G25),0)</f>
        <v>0.10071942446043165</v>
      </c>
      <c r="H6" s="70"/>
      <c r="I6" s="70" t="s">
        <v>202</v>
      </c>
      <c r="J6" s="70"/>
      <c r="L6" s="74"/>
      <c r="M6" s="59"/>
      <c r="N6" s="69"/>
      <c r="O6" s="70" t="s">
        <v>74</v>
      </c>
      <c r="R6" s="75">
        <f>R5+R4</f>
        <v>3.0476436369511246</v>
      </c>
      <c r="S6" s="70" t="s">
        <v>46</v>
      </c>
      <c r="T6" s="74"/>
      <c r="U6" s="59"/>
    </row>
    <row r="7" spans="1:21" ht="19" x14ac:dyDescent="0.5">
      <c r="A7" s="59"/>
      <c r="B7" s="69"/>
      <c r="C7" s="70" t="s">
        <v>69</v>
      </c>
      <c r="D7" s="71">
        <v>440</v>
      </c>
      <c r="E7" s="70"/>
      <c r="F7" s="70" t="s">
        <v>68</v>
      </c>
      <c r="G7" s="76">
        <f>IF(F8&gt;0,1/(1+D7/F8),0)</f>
        <v>0.77637502806591097</v>
      </c>
      <c r="H7" s="70"/>
      <c r="I7" s="70"/>
      <c r="J7" s="70"/>
      <c r="K7" s="70"/>
      <c r="L7" s="74"/>
      <c r="M7" s="59"/>
      <c r="N7" s="69"/>
      <c r="O7" s="70" t="s">
        <v>67</v>
      </c>
      <c r="P7" s="70"/>
      <c r="Q7" s="70"/>
      <c r="R7" s="70"/>
      <c r="S7" s="70"/>
      <c r="T7" s="74"/>
      <c r="U7" s="59"/>
    </row>
    <row r="8" spans="1:21" ht="17.5" thickBot="1" x14ac:dyDescent="0.45">
      <c r="A8" s="59"/>
      <c r="B8" s="69"/>
      <c r="C8" s="70" t="s">
        <v>66</v>
      </c>
      <c r="D8" s="80">
        <v>848.7</v>
      </c>
      <c r="E8" s="70" t="s">
        <v>65</v>
      </c>
      <c r="F8" s="93">
        <f>D8*44.01/22.4*273/(273+D13)</f>
        <v>1527.5799003775171</v>
      </c>
      <c r="G8" s="70" t="s">
        <v>42</v>
      </c>
      <c r="H8" s="70"/>
      <c r="I8" s="70"/>
      <c r="J8" s="70"/>
      <c r="K8" s="70"/>
      <c r="L8" s="74"/>
      <c r="M8" s="59"/>
      <c r="N8" s="78"/>
      <c r="O8" s="78"/>
      <c r="P8" s="78"/>
      <c r="Q8" s="78"/>
      <c r="R8" s="78"/>
      <c r="S8" s="78"/>
      <c r="T8" s="78"/>
      <c r="U8" s="59"/>
    </row>
    <row r="9" spans="1:21" x14ac:dyDescent="0.4">
      <c r="A9" s="59"/>
      <c r="B9" s="69"/>
      <c r="C9" s="70" t="s">
        <v>64</v>
      </c>
      <c r="D9" s="71">
        <v>25</v>
      </c>
      <c r="E9" s="70"/>
      <c r="H9" s="70"/>
      <c r="I9" s="70"/>
      <c r="J9" s="70" t="s">
        <v>63</v>
      </c>
      <c r="K9" s="118">
        <f>(K3-SQRT(K3^2-K4))/2/G4</f>
        <v>0.16002095932748722</v>
      </c>
      <c r="L9" s="74" t="s">
        <v>35</v>
      </c>
      <c r="M9" s="59"/>
      <c r="U9" s="59"/>
    </row>
    <row r="10" spans="1:21" ht="17.5" thickBot="1" x14ac:dyDescent="0.45">
      <c r="A10" s="59"/>
      <c r="B10" s="69"/>
      <c r="C10" s="70" t="s">
        <v>61</v>
      </c>
      <c r="D10" s="71">
        <v>5</v>
      </c>
      <c r="E10" s="70"/>
      <c r="F10" s="70" t="s">
        <v>60</v>
      </c>
      <c r="G10" s="76">
        <f>(2352-F15)/2/2352</f>
        <v>0.11736700237981097</v>
      </c>
      <c r="H10" s="70"/>
      <c r="I10" s="70"/>
      <c r="J10" s="70" t="s">
        <v>59</v>
      </c>
      <c r="K10" s="119">
        <f>K9*G10</f>
        <v>1.8781180314208827E-2</v>
      </c>
      <c r="L10" s="74" t="s">
        <v>35</v>
      </c>
      <c r="M10" s="59"/>
      <c r="U10" s="59"/>
    </row>
    <row r="11" spans="1:21" ht="22" thickBot="1" x14ac:dyDescent="0.5">
      <c r="A11" s="59"/>
      <c r="B11" s="77"/>
      <c r="C11" s="78" t="s">
        <v>57</v>
      </c>
      <c r="D11" s="84">
        <v>7.0000000000000007E-2</v>
      </c>
      <c r="E11" s="78"/>
      <c r="F11" s="78" t="s">
        <v>56</v>
      </c>
      <c r="G11" s="85">
        <f>D11*2^((D13-20)/10)</f>
        <v>9.8994949366116664E-2</v>
      </c>
      <c r="H11" s="70" t="s">
        <v>55</v>
      </c>
      <c r="I11" s="78"/>
      <c r="J11" s="78" t="s">
        <v>54</v>
      </c>
      <c r="K11" s="120">
        <f>K9-K10-G11</f>
        <v>4.2244829647161725E-2</v>
      </c>
      <c r="L11" s="79" t="s">
        <v>53</v>
      </c>
      <c r="M11" s="59"/>
      <c r="N11" s="81" t="s">
        <v>62</v>
      </c>
      <c r="O11" s="82"/>
      <c r="P11" s="61"/>
      <c r="Q11" s="61"/>
      <c r="R11" s="61"/>
      <c r="S11" s="61"/>
      <c r="T11" s="66"/>
      <c r="U11" s="59"/>
    </row>
    <row r="12" spans="1:21" ht="19.5" thickBot="1" x14ac:dyDescent="0.55000000000000004">
      <c r="A12" s="59"/>
      <c r="B12" s="87" t="s">
        <v>51</v>
      </c>
      <c r="C12" s="61"/>
      <c r="D12" s="91" t="s">
        <v>194</v>
      </c>
      <c r="E12" s="91" t="s">
        <v>195</v>
      </c>
      <c r="F12" s="91" t="s">
        <v>198</v>
      </c>
      <c r="G12" s="91" t="s">
        <v>199</v>
      </c>
      <c r="H12" s="124" t="s">
        <v>50</v>
      </c>
      <c r="L12" s="66"/>
      <c r="M12" s="59"/>
      <c r="N12" s="69"/>
      <c r="O12" s="70" t="s">
        <v>58</v>
      </c>
      <c r="P12" s="70"/>
      <c r="Q12" s="70"/>
      <c r="R12" s="83">
        <f>K18*K20*K21</f>
        <v>6.2777304001538772</v>
      </c>
      <c r="S12" s="70" t="s">
        <v>46</v>
      </c>
      <c r="T12" s="74"/>
      <c r="U12" s="59"/>
    </row>
    <row r="13" spans="1:21" ht="19" x14ac:dyDescent="0.5">
      <c r="A13" s="59"/>
      <c r="B13" s="69"/>
      <c r="C13" s="70" t="s">
        <v>196</v>
      </c>
      <c r="D13" s="71">
        <v>25</v>
      </c>
      <c r="E13" s="71">
        <v>80</v>
      </c>
      <c r="F13" s="88">
        <v>1.1442099999999999</v>
      </c>
      <c r="G13" s="89">
        <v>65.812749999999994</v>
      </c>
      <c r="H13" s="76">
        <f>0.61078 * EXP(17.269*D13/(237.3+D13))</f>
        <v>3.1673720930966622</v>
      </c>
      <c r="J13" s="70" t="s">
        <v>48</v>
      </c>
      <c r="K13" s="83">
        <f>2166*H13/(273.16+D13)*E13/100</f>
        <v>18.40764141037663</v>
      </c>
      <c r="L13" s="74" t="s">
        <v>44</v>
      </c>
      <c r="M13" s="59"/>
      <c r="N13" s="69"/>
      <c r="O13" s="70" t="s">
        <v>49</v>
      </c>
      <c r="P13" s="70"/>
      <c r="Q13" s="70"/>
      <c r="R13" s="83">
        <f>H20*H22*(K13-K14)*1000/3600</f>
        <v>43.585423064280832</v>
      </c>
      <c r="S13" s="70" t="s">
        <v>46</v>
      </c>
      <c r="T13" s="74"/>
      <c r="U13" s="59"/>
    </row>
    <row r="14" spans="1:21" x14ac:dyDescent="0.4">
      <c r="A14" s="59"/>
      <c r="B14" s="69"/>
      <c r="C14" s="70" t="s">
        <v>197</v>
      </c>
      <c r="D14" s="71">
        <v>5</v>
      </c>
      <c r="E14" s="71">
        <v>40</v>
      </c>
      <c r="F14" s="88">
        <v>1.2674399999999999</v>
      </c>
      <c r="G14" s="89">
        <v>10.426080000000001</v>
      </c>
      <c r="H14" s="76">
        <f>0.61078 * EXP(17.269*D14/(237.3+D14))</f>
        <v>0.87226439758614394</v>
      </c>
      <c r="J14" s="70" t="s">
        <v>45</v>
      </c>
      <c r="K14" s="83">
        <f>2166*H14/(273.16+D14)*E14/100</f>
        <v>2.7168891072355303</v>
      </c>
      <c r="L14" s="74" t="s">
        <v>44</v>
      </c>
      <c r="M14" s="59"/>
      <c r="N14" s="69"/>
      <c r="O14" s="70" t="s">
        <v>47</v>
      </c>
      <c r="R14" s="71">
        <v>0</v>
      </c>
      <c r="S14" s="70" t="s">
        <v>46</v>
      </c>
      <c r="T14" s="74"/>
      <c r="U14" s="59"/>
    </row>
    <row r="15" spans="1:21" x14ac:dyDescent="0.4">
      <c r="A15" s="59"/>
      <c r="B15" s="69"/>
      <c r="C15" s="70" t="s">
        <v>154</v>
      </c>
      <c r="D15" s="71">
        <v>1000</v>
      </c>
      <c r="E15" s="90" t="s">
        <v>155</v>
      </c>
      <c r="F15" s="83">
        <f>D15*44.01/22.4*273/(273+D13)</f>
        <v>1799.9056208053692</v>
      </c>
      <c r="G15" s="70" t="s">
        <v>42</v>
      </c>
      <c r="H15" s="72"/>
      <c r="I15" s="70"/>
      <c r="J15" s="70" t="s">
        <v>43</v>
      </c>
      <c r="K15" s="83">
        <f>IF(G25&gt;80,200,1200-G25*(1200-200)/80)</f>
        <v>1060</v>
      </c>
      <c r="L15" s="74" t="s">
        <v>38</v>
      </c>
      <c r="M15" s="59"/>
      <c r="N15" s="69"/>
      <c r="O15" s="70" t="s">
        <v>52</v>
      </c>
      <c r="P15" s="70"/>
      <c r="Q15" s="70"/>
      <c r="R15" s="86">
        <f>R13+R14-R12</f>
        <v>37.307692664126954</v>
      </c>
      <c r="S15" s="70" t="s">
        <v>46</v>
      </c>
      <c r="T15" s="74"/>
      <c r="U15" s="59"/>
    </row>
    <row r="16" spans="1:21" ht="19" x14ac:dyDescent="0.5">
      <c r="A16" s="59"/>
      <c r="B16" s="69"/>
      <c r="C16" s="70" t="s">
        <v>156</v>
      </c>
      <c r="D16" s="71">
        <v>380</v>
      </c>
      <c r="E16" s="90" t="s">
        <v>155</v>
      </c>
      <c r="F16" s="83">
        <f>D16*44.01/22.4*273/(273+D14)</f>
        <v>733.17018884892082</v>
      </c>
      <c r="G16" s="70" t="s">
        <v>42</v>
      </c>
      <c r="H16" s="72"/>
      <c r="I16" s="70"/>
      <c r="J16" s="70" t="s">
        <v>41</v>
      </c>
      <c r="K16" s="83">
        <f>IF(D17&gt;=1,100,200-(D17*100))</f>
        <v>100</v>
      </c>
      <c r="L16" s="74" t="s">
        <v>38</v>
      </c>
      <c r="M16" s="59"/>
      <c r="N16" s="69"/>
      <c r="O16" s="122" t="s">
        <v>206</v>
      </c>
      <c r="P16" s="70"/>
      <c r="Q16" s="123" t="s">
        <v>205</v>
      </c>
      <c r="R16" s="70"/>
      <c r="S16" s="70"/>
      <c r="T16" s="74"/>
      <c r="U16" s="59"/>
    </row>
    <row r="17" spans="1:23" ht="17.5" thickBot="1" x14ac:dyDescent="0.45">
      <c r="A17" s="59"/>
      <c r="B17" s="69"/>
      <c r="C17" s="70" t="s">
        <v>157</v>
      </c>
      <c r="D17" s="71">
        <v>1</v>
      </c>
      <c r="E17" s="70" t="s">
        <v>158</v>
      </c>
      <c r="F17" s="70"/>
      <c r="G17" s="70"/>
      <c r="H17" s="70"/>
      <c r="I17" s="70"/>
      <c r="J17" s="70" t="s">
        <v>39</v>
      </c>
      <c r="K17" s="83">
        <f>IF(F15&gt;=2352,400,400*F15/2352)</f>
        <v>306.10639809615122</v>
      </c>
      <c r="L17" s="74" t="s">
        <v>38</v>
      </c>
      <c r="M17" s="59"/>
      <c r="N17" s="78"/>
      <c r="O17" s="78"/>
      <c r="P17" s="78"/>
      <c r="Q17" s="78"/>
      <c r="R17" s="78"/>
      <c r="S17" s="78"/>
      <c r="T17" s="78"/>
      <c r="U17" s="59"/>
    </row>
    <row r="18" spans="1:23" ht="17.5" thickBot="1" x14ac:dyDescent="0.45">
      <c r="A18" s="59"/>
      <c r="B18" s="69"/>
      <c r="C18" s="70" t="s">
        <v>204</v>
      </c>
      <c r="D18" s="71">
        <v>0.1</v>
      </c>
      <c r="E18" s="70"/>
      <c r="F18" s="70"/>
      <c r="G18" s="70"/>
      <c r="H18" s="70"/>
      <c r="I18" s="70"/>
      <c r="J18" s="70" t="s">
        <v>36</v>
      </c>
      <c r="K18" s="76">
        <f>(K13/E13*100-K13)*1000/SUM(K15:K17)</f>
        <v>3.138865200076939</v>
      </c>
      <c r="L18" s="74" t="s">
        <v>35</v>
      </c>
      <c r="M18" s="59"/>
      <c r="U18" s="59"/>
    </row>
    <row r="19" spans="1:23" ht="17.5" thickBot="1" x14ac:dyDescent="0.45">
      <c r="A19" s="59"/>
      <c r="B19" s="87" t="s">
        <v>159</v>
      </c>
      <c r="C19" s="61"/>
      <c r="D19" s="61"/>
      <c r="E19" s="61"/>
      <c r="F19" s="61"/>
      <c r="G19" s="61"/>
      <c r="H19" s="61"/>
      <c r="I19" s="61"/>
      <c r="J19" s="61"/>
      <c r="K19" s="61"/>
      <c r="L19" s="66"/>
      <c r="M19" s="59"/>
      <c r="U19" s="59"/>
    </row>
    <row r="20" spans="1:23" ht="22" thickBot="1" x14ac:dyDescent="0.5">
      <c r="A20" s="59"/>
      <c r="B20" s="69"/>
      <c r="C20" s="70" t="s">
        <v>32</v>
      </c>
      <c r="D20" s="71">
        <v>10</v>
      </c>
      <c r="E20" s="70" t="s">
        <v>24</v>
      </c>
      <c r="F20" s="70" t="s">
        <v>160</v>
      </c>
      <c r="G20" s="70"/>
      <c r="H20" s="80">
        <f>D20*D21*D22</f>
        <v>500</v>
      </c>
      <c r="I20" s="70" t="s">
        <v>31</v>
      </c>
      <c r="J20" s="70" t="s">
        <v>213</v>
      </c>
      <c r="K20" s="71">
        <v>0.02</v>
      </c>
      <c r="L20" s="74" t="s">
        <v>27</v>
      </c>
      <c r="M20" s="59"/>
      <c r="N20" s="67" t="s">
        <v>40</v>
      </c>
      <c r="O20" s="68"/>
      <c r="P20" s="61"/>
      <c r="Q20" s="61"/>
      <c r="R20" s="61"/>
      <c r="S20" s="61"/>
      <c r="T20" s="66"/>
      <c r="U20" s="59"/>
    </row>
    <row r="21" spans="1:23" ht="19" x14ac:dyDescent="0.5">
      <c r="A21" s="59"/>
      <c r="B21" s="69"/>
      <c r="C21" s="70" t="s">
        <v>29</v>
      </c>
      <c r="D21" s="71">
        <v>10</v>
      </c>
      <c r="E21" s="70" t="s">
        <v>24</v>
      </c>
      <c r="F21" s="70" t="s">
        <v>208</v>
      </c>
      <c r="H21" s="93">
        <f>2*(D20*D21+D21*D22+D20*D22)</f>
        <v>400</v>
      </c>
      <c r="I21" s="70" t="s">
        <v>28</v>
      </c>
      <c r="J21" s="70" t="s">
        <v>214</v>
      </c>
      <c r="K21" s="71">
        <v>100</v>
      </c>
      <c r="L21" s="70" t="s">
        <v>21</v>
      </c>
      <c r="M21" s="59"/>
      <c r="N21" s="69"/>
      <c r="O21" s="70" t="s">
        <v>37</v>
      </c>
      <c r="P21" s="70"/>
      <c r="Q21" s="70"/>
      <c r="R21" s="93">
        <f>G24*D24</f>
        <v>8000</v>
      </c>
      <c r="S21" s="70" t="s">
        <v>17</v>
      </c>
      <c r="T21" s="74"/>
      <c r="U21" s="59"/>
    </row>
    <row r="22" spans="1:23" ht="19.5" thickBot="1" x14ac:dyDescent="0.55000000000000004">
      <c r="A22" s="59"/>
      <c r="B22" s="77"/>
      <c r="C22" s="78" t="s">
        <v>25</v>
      </c>
      <c r="D22" s="84">
        <v>5</v>
      </c>
      <c r="E22" s="78" t="s">
        <v>24</v>
      </c>
      <c r="F22" s="78" t="s">
        <v>23</v>
      </c>
      <c r="G22" s="78"/>
      <c r="H22" s="84">
        <v>0.02</v>
      </c>
      <c r="I22" s="78" t="s">
        <v>22</v>
      </c>
      <c r="J22" s="78"/>
      <c r="K22" s="78"/>
      <c r="L22" s="78"/>
      <c r="M22" s="59"/>
      <c r="N22" s="69"/>
      <c r="O22" s="70" t="s">
        <v>34</v>
      </c>
      <c r="P22" s="70"/>
      <c r="Q22" s="70"/>
      <c r="R22" s="93">
        <f>D25</f>
        <v>80</v>
      </c>
      <c r="S22" s="70" t="s">
        <v>17</v>
      </c>
      <c r="T22" s="74"/>
      <c r="U22" s="59"/>
    </row>
    <row r="23" spans="1:23" ht="17.5" thickBot="1" x14ac:dyDescent="0.45">
      <c r="A23" s="59"/>
      <c r="B23" s="87" t="s">
        <v>161</v>
      </c>
      <c r="C23" s="70"/>
      <c r="D23" s="70"/>
      <c r="E23" s="70"/>
      <c r="F23" s="70"/>
      <c r="G23" s="70"/>
      <c r="H23" s="70"/>
      <c r="I23" s="70"/>
      <c r="J23" s="70"/>
      <c r="K23" s="70"/>
      <c r="L23" s="74"/>
      <c r="M23" s="59"/>
      <c r="N23" s="69"/>
      <c r="O23" s="70" t="s">
        <v>33</v>
      </c>
      <c r="P23" s="70"/>
      <c r="Q23" s="70"/>
      <c r="R23" s="93">
        <f>(G13-G14)*F13*H20*H22/3.6</f>
        <v>176.03883800194441</v>
      </c>
      <c r="S23" s="70" t="s">
        <v>17</v>
      </c>
      <c r="T23" s="74"/>
      <c r="U23" s="59"/>
    </row>
    <row r="24" spans="1:23" x14ac:dyDescent="0.4">
      <c r="A24" s="59"/>
      <c r="B24" s="69"/>
      <c r="C24" s="70" t="s">
        <v>20</v>
      </c>
      <c r="D24" s="71">
        <v>20</v>
      </c>
      <c r="E24" s="70" t="s">
        <v>203</v>
      </c>
      <c r="F24" s="70" t="s">
        <v>211</v>
      </c>
      <c r="G24" s="71">
        <v>400</v>
      </c>
      <c r="H24" s="57" t="s">
        <v>212</v>
      </c>
      <c r="I24" s="70"/>
      <c r="J24" s="70" t="s">
        <v>19</v>
      </c>
      <c r="K24" s="80">
        <f>G24*D24</f>
        <v>8000</v>
      </c>
      <c r="L24" s="74" t="s">
        <v>17</v>
      </c>
      <c r="M24" s="59"/>
      <c r="N24" s="69"/>
      <c r="O24" s="70" t="s">
        <v>30</v>
      </c>
      <c r="P24" s="70"/>
      <c r="Q24" s="70"/>
      <c r="R24" s="93">
        <f>H21*D18*(D13-D14)</f>
        <v>800</v>
      </c>
      <c r="S24" s="70" t="s">
        <v>17</v>
      </c>
      <c r="T24" s="74"/>
      <c r="U24" s="59"/>
    </row>
    <row r="25" spans="1:23" x14ac:dyDescent="0.4">
      <c r="A25" s="59"/>
      <c r="B25" s="69"/>
      <c r="C25" s="70" t="s">
        <v>18</v>
      </c>
      <c r="D25" s="71">
        <v>80</v>
      </c>
      <c r="E25" s="70" t="s">
        <v>17</v>
      </c>
      <c r="F25" s="57" t="s">
        <v>209</v>
      </c>
      <c r="G25" s="121">
        <v>11.2</v>
      </c>
      <c r="H25" s="70" t="s">
        <v>210</v>
      </c>
      <c r="I25" s="70"/>
      <c r="M25" s="59"/>
      <c r="N25" s="69"/>
      <c r="O25" s="70" t="s">
        <v>26</v>
      </c>
      <c r="P25" s="70"/>
      <c r="Q25" s="70"/>
      <c r="R25" s="93">
        <f>R21+R22-R23-R24</f>
        <v>7103.961161998056</v>
      </c>
      <c r="S25" s="70" t="s">
        <v>17</v>
      </c>
      <c r="T25" s="74"/>
      <c r="U25" s="59"/>
    </row>
    <row r="26" spans="1:23" ht="19" x14ac:dyDescent="0.5">
      <c r="A26" s="59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4"/>
      <c r="M26" s="59"/>
      <c r="N26" s="69"/>
      <c r="O26" s="122" t="s">
        <v>207</v>
      </c>
      <c r="P26" s="70"/>
      <c r="Q26" s="70"/>
      <c r="R26" s="70"/>
      <c r="S26" s="70"/>
      <c r="T26" s="74"/>
      <c r="U26" s="59"/>
    </row>
    <row r="27" spans="1:23" ht="17.5" thickBot="1" x14ac:dyDescent="0.45">
      <c r="A27" s="59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59"/>
      <c r="N27" s="78"/>
      <c r="O27" s="78"/>
      <c r="P27" s="78"/>
      <c r="Q27" s="78"/>
      <c r="R27" s="78"/>
      <c r="S27" s="78"/>
      <c r="T27" s="78"/>
      <c r="U27" s="59"/>
      <c r="V27" s="70"/>
      <c r="W27" s="70"/>
    </row>
  </sheetData>
  <mergeCells count="1">
    <mergeCell ref="B1:T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PF CO2 Balance</vt:lpstr>
      <vt:lpstr>PF water Balance </vt:lpstr>
      <vt:lpstr>PF Energy Balance </vt:lpstr>
      <vt:lpstr>PF 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FangWei</dc:creator>
  <cp:lastModifiedBy>FangWei</cp:lastModifiedBy>
  <dcterms:created xsi:type="dcterms:W3CDTF">2026-04-21T13:35:40Z</dcterms:created>
  <dcterms:modified xsi:type="dcterms:W3CDTF">2026-04-23T00:03:19Z</dcterms:modified>
</cp:coreProperties>
</file>